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chris\Desktop\"/>
    </mc:Choice>
  </mc:AlternateContent>
  <xr:revisionPtr revIDLastSave="0" documentId="8_{0D0C0C9D-1832-4694-BF05-4ED5E7936D3F}" xr6:coauthVersionLast="44" xr6:coauthVersionMax="44" xr10:uidLastSave="{00000000-0000-0000-0000-000000000000}"/>
  <bookViews>
    <workbookView xWindow="-120" yWindow="-120" windowWidth="20730" windowHeight="11160" tabRatio="929" xr2:uid="{2796FA2D-81F5-48B6-8712-E0C46835E350}"/>
  </bookViews>
  <sheets>
    <sheet name="Consolidado 2020" sheetId="13" r:id="rId1"/>
    <sheet name="TIC" sheetId="11" r:id="rId2"/>
    <sheet name="Comunicaciones" sheetId="4" r:id="rId3"/>
    <sheet name="Oficina Asesora Planeación" sheetId="2" r:id="rId4"/>
    <sheet name="PAI SES" sheetId="1" r:id="rId5"/>
    <sheet name="SIPTA" sheetId="3" r:id="rId6"/>
    <sheet name="SAF" sheetId="12" r:id="rId7"/>
    <sheet name="Oficina Asesora Jurídica" sheetId="6" r:id="rId8"/>
    <sheet name="Control Disciplinario" sheetId="10" r:id="rId9"/>
    <sheet name="Control Interno" sheetId="5" r:id="rId10"/>
    <sheet name="PAI REGALÍAS" sheetId="14"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xlnm._FilterDatabase" localSheetId="4" hidden="1">'PAI SES'!$A$6:$AAF$76</definedName>
    <definedName name="DepartamentoConsulta" localSheetId="0">#REF!</definedName>
    <definedName name="DepartamentoConsulta">#REF!</definedName>
    <definedName name="DeptoConsulta" localSheetId="0">#REF!</definedName>
    <definedName name="DeptoConsulta">#REF!</definedName>
    <definedName name="FactorSemanas">[1]Parametros!$G$5</definedName>
    <definedName name="FechaCierre">'[2]Registro Control Tiempos'!$C$9</definedName>
    <definedName name="FechaCorte">'[2]Registro Control Tiempos'!$C$7</definedName>
    <definedName name="FechaCorteModificacion" localSheetId="0">#REF!</definedName>
    <definedName name="FechaCorteModificacion">#REF!</definedName>
    <definedName name="festivos">[1]!Tabla4[TabDiasFestivos]</definedName>
    <definedName name="G" localSheetId="0">#REF!</definedName>
    <definedName name="G">#REF!</definedName>
    <definedName name="Instrumentos">[3]Parametros!$F$11:$F$19</definedName>
    <definedName name="intrumento">[4]!TabInstrumentos[Instrumentos]</definedName>
    <definedName name="Mesfinal">[1]Parametros!$H$2</definedName>
    <definedName name="MesInicial">[1]Parametros!$G$2</definedName>
    <definedName name="MetaAnual" localSheetId="0">#REF!</definedName>
    <definedName name="MetaAnual">#REF!</definedName>
    <definedName name="MetaAnualIE">'[1]Indicador estrategico'!$AV$5</definedName>
    <definedName name="NativeTimeline_Fecha_Auto_Administrativo_Respuesta">#N/A</definedName>
    <definedName name="NombreContratista">[4]!TabRevisores[NOMBRE]</definedName>
    <definedName name="NormasAplicables">[4]Parametros!$BI$15:$BI$19</definedName>
    <definedName name="NotaAutoInicio" localSheetId="0">#REF!</definedName>
    <definedName name="NotaAutoInicio">#REF!</definedName>
    <definedName name="pend">[5]Pendientes!$B$49:$E$49</definedName>
    <definedName name="PerfilActivo" localSheetId="0">#REF!</definedName>
    <definedName name="PerfilActivo">#REF!</definedName>
    <definedName name="ProyectoConsulta" localSheetId="0">#REF!</definedName>
    <definedName name="ProyectoConsulta">#REF!</definedName>
    <definedName name="RangoConsulta" localSheetId="0">'[2]Registro Control Tiempos'!#REF!</definedName>
    <definedName name="RangoConsulta">'[2]Registro Control Tiempos'!#REF!</definedName>
    <definedName name="RegistroConsulta" localSheetId="0">#REF!</definedName>
    <definedName name="RegistroConsulta">#REF!</definedName>
    <definedName name="Sector">[6]Parametros!$N$11:$N$17</definedName>
    <definedName name="SectorAConsultar" localSheetId="0">#REF!</definedName>
    <definedName name="SectorAConsultar">#REF!</definedName>
    <definedName name="SectorConsultar">'[1]Indicador estrategico'!$I$2</definedName>
    <definedName name="SectorEstadisticas" localSheetId="0">#REF!</definedName>
    <definedName name="SectorEstadisticas">#REF!</definedName>
    <definedName name="SectorTiempo" localSheetId="0">Ind Tiempos [7]Sectorial!$E$9</definedName>
    <definedName name="SectorTiempo">Ind Tiempos [7]Sectorial!$E$9</definedName>
    <definedName name="SiNo">[8]Parametros!$BI$12:$BI$13</definedName>
    <definedName name="ss">[4]!TabInstrumentos[Instrumentos]</definedName>
    <definedName name="TabDiasFestivos">[1]!Tabla4[TabDiasFestivos]</definedName>
    <definedName name="TabSabadoDomingo">[4]!SabadosDomingos[SabadosDomingos]</definedName>
    <definedName name="TipoActoAdministrativo">[9]Parametros!$T$11:$T$13</definedName>
    <definedName name="TipoDecision">[10]Parametros!$V$11:$V$18</definedName>
    <definedName name="TipoRegistro">[11]Parametros!$L$11:$L$13</definedName>
    <definedName name="TipoSuspension">[1]Parametros!$R$11:$R$14</definedName>
    <definedName name="TipoTramite">[1]Parametros!$AB$11:$AB$13</definedName>
    <definedName name="UsuarioActivo" localSheetId="0">#REF!</definedName>
    <definedName name="UsuarioActiv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Q14" i="14" l="1"/>
  <c r="AO14" i="14"/>
  <c r="AG14" i="14"/>
  <c r="AI14" i="14" s="1"/>
  <c r="AA14" i="14"/>
  <c r="Y14" i="14"/>
  <c r="AQ13" i="14"/>
  <c r="AI13" i="14"/>
  <c r="AA13" i="14"/>
  <c r="AQ12" i="14"/>
  <c r="AI12" i="14"/>
  <c r="AA12" i="14"/>
  <c r="AQ11" i="14"/>
  <c r="AI11" i="14"/>
  <c r="AA11" i="14"/>
  <c r="AQ10" i="14"/>
  <c r="AI10" i="14"/>
  <c r="AA10" i="14"/>
  <c r="AQ9" i="14"/>
  <c r="AI9" i="14"/>
  <c r="AA9" i="14"/>
  <c r="AQ8" i="14"/>
  <c r="AI8" i="14"/>
  <c r="AA8" i="14"/>
  <c r="AA15" i="14" s="1"/>
  <c r="AQ7" i="14"/>
  <c r="AQ15" i="14" s="1"/>
  <c r="AI7" i="14"/>
  <c r="AA7" i="14"/>
  <c r="AI15" i="14" l="1"/>
  <c r="H31" i="13"/>
  <c r="G31" i="13"/>
  <c r="F31" i="13"/>
  <c r="E31" i="13"/>
  <c r="D31" i="13"/>
  <c r="C31" i="13"/>
  <c r="H28" i="13"/>
  <c r="G28" i="13"/>
  <c r="G32" i="13" s="1"/>
  <c r="F28" i="13"/>
  <c r="E28" i="13"/>
  <c r="D28" i="13"/>
  <c r="C28" i="13"/>
  <c r="C32" i="13" s="1"/>
  <c r="H17" i="13"/>
  <c r="G17" i="13"/>
  <c r="F17" i="13"/>
  <c r="E17" i="13"/>
  <c r="D17" i="13"/>
  <c r="C17" i="13"/>
  <c r="F14" i="13"/>
  <c r="E14" i="13"/>
  <c r="E32" i="13" s="1"/>
  <c r="D14" i="13"/>
  <c r="C14" i="13"/>
  <c r="H32" i="13" l="1"/>
  <c r="F32" i="13"/>
  <c r="D32" i="13"/>
  <c r="AA19" i="2" l="1"/>
  <c r="AU15" i="4"/>
  <c r="AQ15" i="4"/>
  <c r="AM15" i="4"/>
  <c r="AI15" i="4"/>
  <c r="AE15" i="4"/>
  <c r="AA15" i="4"/>
  <c r="AA11" i="5"/>
  <c r="AE11" i="5"/>
  <c r="AE16" i="6" l="1"/>
  <c r="AA16" i="6"/>
  <c r="AM16" i="6"/>
  <c r="AI16" i="6"/>
  <c r="AQ16" i="6"/>
  <c r="AU16" i="6"/>
  <c r="AU10" i="6"/>
  <c r="AA10" i="6"/>
  <c r="AE10" i="6"/>
  <c r="AI10" i="6"/>
  <c r="AM10" i="6"/>
  <c r="AQ10" i="6"/>
  <c r="AQ36" i="12"/>
  <c r="AU35" i="12"/>
  <c r="AU36" i="12" s="1"/>
  <c r="AM35" i="12"/>
  <c r="AM36" i="12" s="1"/>
  <c r="AQ34" i="12"/>
  <c r="AI34" i="12"/>
  <c r="AA34" i="12"/>
  <c r="AA36" i="12" s="1"/>
  <c r="AQ33" i="12"/>
  <c r="AI33" i="12"/>
  <c r="AI36" i="12" s="1"/>
  <c r="AQ32" i="12"/>
  <c r="AI32" i="12"/>
  <c r="AG30" i="12"/>
  <c r="Y30" i="12"/>
  <c r="AA30" i="12" s="1"/>
  <c r="AA29" i="12"/>
  <c r="AQ28" i="12"/>
  <c r="AI28" i="12"/>
  <c r="AU27" i="12"/>
  <c r="AU26" i="12"/>
  <c r="AU24" i="12"/>
  <c r="AU28" i="12" s="1"/>
  <c r="AM24" i="12"/>
  <c r="AQ21" i="12"/>
  <c r="AI21" i="12"/>
  <c r="AA21" i="12"/>
  <c r="AQ20" i="12"/>
  <c r="AI20" i="12"/>
  <c r="AA20" i="12"/>
  <c r="AU18" i="12"/>
  <c r="AU22" i="12" s="1"/>
  <c r="AU38" i="12" s="1"/>
  <c r="AQ18" i="12"/>
  <c r="AQ22" i="12" s="1"/>
  <c r="AM18" i="12"/>
  <c r="AM22" i="12" s="1"/>
  <c r="AM28" i="12" s="1"/>
  <c r="AI18" i="12"/>
  <c r="AI22" i="12" s="1"/>
  <c r="AE18" i="12"/>
  <c r="AE22" i="12" s="1"/>
  <c r="AA18" i="12"/>
  <c r="AA22" i="12" s="1"/>
  <c r="AQ17" i="12"/>
  <c r="AQ38" i="12" s="1"/>
  <c r="AI17" i="12"/>
  <c r="AA17" i="12"/>
  <c r="AQ14" i="12"/>
  <c r="AU13" i="12"/>
  <c r="AQ13" i="12"/>
  <c r="AE13" i="12"/>
  <c r="AE38" i="12" s="1"/>
  <c r="AA13" i="12"/>
  <c r="AQ12" i="12"/>
  <c r="AG12" i="12"/>
  <c r="AI12" i="12" s="1"/>
  <c r="AI13" i="12" s="1"/>
  <c r="AU9" i="12"/>
  <c r="AM9" i="12"/>
  <c r="AM13" i="12" s="1"/>
  <c r="AE9" i="12"/>
  <c r="AQ13" i="11"/>
  <c r="AM13" i="11"/>
  <c r="AM15" i="11" s="1"/>
  <c r="AE13" i="11"/>
  <c r="AE15" i="11" s="1"/>
  <c r="AQ10" i="11"/>
  <c r="AI10" i="11"/>
  <c r="AA10" i="11"/>
  <c r="AA15" i="11" s="1"/>
  <c r="AU9" i="11"/>
  <c r="AU15" i="11" s="1"/>
  <c r="AQ9" i="11"/>
  <c r="AQ15" i="11" s="1"/>
  <c r="AM9" i="11"/>
  <c r="AI9" i="11"/>
  <c r="AI15" i="11" s="1"/>
  <c r="AE9" i="11"/>
  <c r="AU7" i="11"/>
  <c r="AQ10" i="10"/>
  <c r="AI10" i="10"/>
  <c r="AA10" i="10"/>
  <c r="AM38" i="12" l="1"/>
  <c r="AI38" i="12"/>
  <c r="AA32" i="12"/>
  <c r="AA38" i="12" s="1"/>
  <c r="AT14" i="6"/>
  <c r="AS14" i="6"/>
  <c r="AM14" i="6"/>
  <c r="AL13" i="6"/>
  <c r="AT13" i="6" s="1"/>
  <c r="AK13" i="6"/>
  <c r="AS13" i="6" s="1"/>
  <c r="AE13" i="6"/>
  <c r="Z13" i="6"/>
  <c r="Y13" i="6"/>
  <c r="AA13" i="6" s="1"/>
  <c r="AQ12" i="6"/>
  <c r="AI12" i="6"/>
  <c r="AA12" i="6"/>
  <c r="AQ11" i="6"/>
  <c r="AI11" i="6"/>
  <c r="AA11" i="6"/>
  <c r="AU9" i="6"/>
  <c r="AM9" i="6"/>
  <c r="AE9" i="6"/>
  <c r="AU8" i="6"/>
  <c r="AM8" i="6"/>
  <c r="AU7" i="6"/>
  <c r="AM7" i="6"/>
  <c r="AE7" i="6"/>
  <c r="Z7" i="6"/>
  <c r="Y7" i="6"/>
  <c r="AG7" i="6" s="1"/>
  <c r="AP13" i="6" l="1"/>
  <c r="AU14" i="6"/>
  <c r="AG13" i="6"/>
  <c r="AI7" i="6"/>
  <c r="AO7" i="6"/>
  <c r="AQ7" i="6" s="1"/>
  <c r="AU13" i="6"/>
  <c r="AO13" i="6"/>
  <c r="AA7" i="6"/>
  <c r="AH13" i="6"/>
  <c r="AM13" i="6"/>
  <c r="AQ13" i="6" l="1"/>
  <c r="AI13" i="6"/>
  <c r="AE8" i="5"/>
  <c r="AE7" i="5"/>
  <c r="AA7" i="5"/>
  <c r="AU12" i="4" l="1"/>
  <c r="AQ12" i="4"/>
  <c r="AM12" i="4"/>
  <c r="AI12" i="4"/>
  <c r="AE12" i="4"/>
  <c r="AA12" i="4"/>
  <c r="AU11" i="4"/>
  <c r="AQ11" i="4"/>
  <c r="AK11" i="4"/>
  <c r="AM11" i="4" s="1"/>
  <c r="AG11" i="4"/>
  <c r="AI11" i="4" s="1"/>
  <c r="AE11" i="4"/>
  <c r="AA11" i="4"/>
  <c r="AE10" i="4"/>
  <c r="AU9" i="4"/>
  <c r="AK9" i="4"/>
  <c r="AM9" i="4" s="1"/>
  <c r="AE9" i="4"/>
  <c r="AU8" i="4"/>
  <c r="AK8" i="4"/>
  <c r="AM8" i="4" s="1"/>
  <c r="AE8" i="4"/>
  <c r="AU7" i="4"/>
  <c r="AQ7" i="4"/>
  <c r="AM7" i="4"/>
  <c r="AI7" i="4"/>
  <c r="AE7" i="4"/>
  <c r="AA7" i="4"/>
  <c r="AE20" i="3" l="1"/>
  <c r="AI19" i="3"/>
  <c r="AA19" i="3"/>
  <c r="AU10" i="3"/>
  <c r="AM10" i="3"/>
  <c r="AE10" i="3"/>
  <c r="AU9" i="3"/>
  <c r="AQ9" i="3"/>
  <c r="AM9" i="3"/>
  <c r="AI9" i="3"/>
  <c r="AE9" i="3"/>
  <c r="AA9" i="3"/>
  <c r="AU8" i="3"/>
  <c r="AM8" i="3"/>
  <c r="AE8" i="3"/>
  <c r="AU7" i="3"/>
  <c r="AQ7" i="3"/>
  <c r="AM7" i="3"/>
  <c r="AI7" i="3"/>
  <c r="AE7" i="3"/>
  <c r="AA7" i="3"/>
  <c r="AU19" i="2"/>
  <c r="AM19" i="2"/>
  <c r="AE19" i="2"/>
  <c r="AI16" i="2"/>
  <c r="AI13" i="2"/>
  <c r="AQ7" i="2"/>
  <c r="AQ19" i="2" s="1"/>
  <c r="AI7" i="2"/>
  <c r="AI19" i="2" l="1"/>
  <c r="AQ75" i="1"/>
  <c r="AO75" i="1"/>
  <c r="AA75" i="1"/>
  <c r="Z75" i="1"/>
  <c r="Y75" i="1"/>
  <c r="AO74" i="1"/>
  <c r="AQ74" i="1" s="1"/>
  <c r="AQ76" i="1" s="1"/>
  <c r="Z74" i="1"/>
  <c r="Y74" i="1"/>
  <c r="AA74" i="1" s="1"/>
  <c r="AA76" i="1" s="1"/>
  <c r="AQ72" i="1"/>
  <c r="AP72" i="1"/>
  <c r="AA72" i="1"/>
  <c r="Z72" i="1"/>
  <c r="Y72" i="1"/>
  <c r="AP71" i="1"/>
  <c r="AQ71" i="1" s="1"/>
  <c r="AA71" i="1"/>
  <c r="Z71" i="1"/>
  <c r="Y71" i="1"/>
  <c r="AQ70" i="1"/>
  <c r="AP70" i="1"/>
  <c r="Z70" i="1"/>
  <c r="AA70" i="1" s="1"/>
  <c r="AQ69" i="1"/>
  <c r="AP69" i="1"/>
  <c r="AA69" i="1"/>
  <c r="Z69" i="1"/>
  <c r="AQ68" i="1"/>
  <c r="AP68" i="1"/>
  <c r="Z68" i="1"/>
  <c r="Y68" i="1"/>
  <c r="AA68" i="1" s="1"/>
  <c r="AP67" i="1"/>
  <c r="AQ67" i="1" s="1"/>
  <c r="AQ73" i="1" s="1"/>
  <c r="Z67" i="1"/>
  <c r="Y67" i="1"/>
  <c r="AA67" i="1" s="1"/>
  <c r="AQ65" i="1"/>
  <c r="AP65" i="1"/>
  <c r="Z65" i="1"/>
  <c r="AA65" i="1" s="1"/>
  <c r="AQ64" i="1"/>
  <c r="AP64" i="1"/>
  <c r="Z64" i="1"/>
  <c r="AA64" i="1" s="1"/>
  <c r="AQ63" i="1"/>
  <c r="AP63" i="1"/>
  <c r="Z63" i="1"/>
  <c r="AA63" i="1" s="1"/>
  <c r="AQ62" i="1"/>
  <c r="AQ66" i="1" s="1"/>
  <c r="AP62" i="1"/>
  <c r="Z62" i="1"/>
  <c r="AA62" i="1" s="1"/>
  <c r="AQ60" i="1"/>
  <c r="AP60" i="1"/>
  <c r="Z60" i="1"/>
  <c r="AA60" i="1" s="1"/>
  <c r="AQ59" i="1"/>
  <c r="AP59" i="1"/>
  <c r="AO59" i="1"/>
  <c r="Z59" i="1"/>
  <c r="AA59" i="1" s="1"/>
  <c r="Y59" i="1"/>
  <c r="AT58" i="1"/>
  <c r="AU58" i="1" s="1"/>
  <c r="AU61" i="1" s="1"/>
  <c r="AQ58" i="1"/>
  <c r="AQ61" i="1" s="1"/>
  <c r="AP58" i="1"/>
  <c r="AD58" i="1"/>
  <c r="AE58" i="1" s="1"/>
  <c r="AE61" i="1" s="1"/>
  <c r="AA58" i="1"/>
  <c r="AA61" i="1" s="1"/>
  <c r="Z58" i="1"/>
  <c r="AQ56" i="1"/>
  <c r="AP56" i="1"/>
  <c r="AA56" i="1"/>
  <c r="Z56" i="1"/>
  <c r="AQ55" i="1"/>
  <c r="AP55" i="1"/>
  <c r="AO55" i="1"/>
  <c r="Z55" i="1"/>
  <c r="AA55" i="1" s="1"/>
  <c r="Y55" i="1"/>
  <c r="AP54" i="1"/>
  <c r="AO54" i="1"/>
  <c r="AQ54" i="1" s="1"/>
  <c r="AQ57" i="1" s="1"/>
  <c r="Z54" i="1"/>
  <c r="AA54" i="1" s="1"/>
  <c r="AA57" i="1" s="1"/>
  <c r="AT52" i="1"/>
  <c r="AU52" i="1" s="1"/>
  <c r="AD52" i="1"/>
  <c r="AE52" i="1" s="1"/>
  <c r="AT51" i="1"/>
  <c r="AU51" i="1" s="1"/>
  <c r="AD51" i="1"/>
  <c r="AE51" i="1" s="1"/>
  <c r="AT50" i="1"/>
  <c r="AU50" i="1" s="1"/>
  <c r="AP50" i="1"/>
  <c r="AQ50" i="1" s="1"/>
  <c r="AD50" i="1"/>
  <c r="AE50" i="1" s="1"/>
  <c r="Z50" i="1"/>
  <c r="AA50" i="1" s="1"/>
  <c r="AT49" i="1"/>
  <c r="AU49" i="1" s="1"/>
  <c r="AS49" i="1"/>
  <c r="AD49" i="1"/>
  <c r="AC49" i="1"/>
  <c r="AE49" i="1" s="1"/>
  <c r="AT48" i="1"/>
  <c r="AS48" i="1"/>
  <c r="AU48" i="1" s="1"/>
  <c r="AQ48" i="1"/>
  <c r="AP48" i="1"/>
  <c r="AO48" i="1"/>
  <c r="AD48" i="1"/>
  <c r="AE48" i="1" s="1"/>
  <c r="AC48" i="1"/>
  <c r="Z48" i="1"/>
  <c r="Y48" i="1"/>
  <c r="AA48" i="1" s="1"/>
  <c r="AT47" i="1"/>
  <c r="AU47" i="1" s="1"/>
  <c r="AD47" i="1"/>
  <c r="AE47" i="1" s="1"/>
  <c r="AT46" i="1"/>
  <c r="AU46" i="1" s="1"/>
  <c r="AP46" i="1"/>
  <c r="AQ46" i="1" s="1"/>
  <c r="AD46" i="1"/>
  <c r="AE46" i="1" s="1"/>
  <c r="Z46" i="1"/>
  <c r="AA46" i="1" s="1"/>
  <c r="AA53" i="1" s="1"/>
  <c r="AT44" i="1"/>
  <c r="AU44" i="1" s="1"/>
  <c r="AD44" i="1"/>
  <c r="AE44" i="1" s="1"/>
  <c r="AT43" i="1"/>
  <c r="AU43" i="1" s="1"/>
  <c r="AD43" i="1"/>
  <c r="AE43" i="1" s="1"/>
  <c r="AT42" i="1"/>
  <c r="AU42" i="1" s="1"/>
  <c r="AP42" i="1"/>
  <c r="AQ42" i="1" s="1"/>
  <c r="AD42" i="1"/>
  <c r="AE42" i="1" s="1"/>
  <c r="Z42" i="1"/>
  <c r="AA42" i="1" s="1"/>
  <c r="AT41" i="1"/>
  <c r="AS41" i="1"/>
  <c r="AU41" i="1" s="1"/>
  <c r="AE41" i="1"/>
  <c r="AD41" i="1"/>
  <c r="AC41" i="1"/>
  <c r="AT40" i="1"/>
  <c r="AU40" i="1" s="1"/>
  <c r="AS40" i="1"/>
  <c r="AP40" i="1"/>
  <c r="AO40" i="1"/>
  <c r="AQ40" i="1" s="1"/>
  <c r="AD40" i="1"/>
  <c r="AE40" i="1" s="1"/>
  <c r="Z40" i="1"/>
  <c r="AA40" i="1" s="1"/>
  <c r="Y40" i="1"/>
  <c r="AT39" i="1"/>
  <c r="AU39" i="1" s="1"/>
  <c r="AE39" i="1"/>
  <c r="AD39" i="1"/>
  <c r="AT38" i="1"/>
  <c r="AU38" i="1" s="1"/>
  <c r="AU45" i="1" s="1"/>
  <c r="AQ38" i="1"/>
  <c r="AQ45" i="1" s="1"/>
  <c r="AP38" i="1"/>
  <c r="AD38" i="1"/>
  <c r="AE38" i="1" s="1"/>
  <c r="AA38" i="1"/>
  <c r="AA45" i="1" s="1"/>
  <c r="Z38" i="1"/>
  <c r="AT36" i="1"/>
  <c r="AU36" i="1" s="1"/>
  <c r="AE36" i="1"/>
  <c r="AD36" i="1"/>
  <c r="AT35" i="1"/>
  <c r="AU35" i="1" s="1"/>
  <c r="AE35" i="1"/>
  <c r="AD35" i="1"/>
  <c r="AT34" i="1"/>
  <c r="AU34" i="1" s="1"/>
  <c r="AQ34" i="1"/>
  <c r="AP34" i="1"/>
  <c r="AE34" i="1"/>
  <c r="AD34" i="1"/>
  <c r="AA34" i="1"/>
  <c r="Z34" i="1"/>
  <c r="AT33" i="1"/>
  <c r="AS33" i="1"/>
  <c r="AU33" i="1" s="1"/>
  <c r="AD33" i="1"/>
  <c r="AC33" i="1"/>
  <c r="AE33" i="1" s="1"/>
  <c r="AU32" i="1"/>
  <c r="AT32" i="1"/>
  <c r="AS32" i="1"/>
  <c r="AP32" i="1"/>
  <c r="AO32" i="1"/>
  <c r="AQ32" i="1" s="1"/>
  <c r="AD32" i="1"/>
  <c r="AE32" i="1" s="1"/>
  <c r="AA32" i="1"/>
  <c r="Z32" i="1"/>
  <c r="Y32" i="1"/>
  <c r="AT31" i="1"/>
  <c r="AU31" i="1" s="1"/>
  <c r="AD31" i="1"/>
  <c r="AE31" i="1" s="1"/>
  <c r="AT30" i="1"/>
  <c r="AU30" i="1" s="1"/>
  <c r="AP30" i="1"/>
  <c r="AQ30" i="1" s="1"/>
  <c r="AQ37" i="1" s="1"/>
  <c r="AD30" i="1"/>
  <c r="AE30" i="1" s="1"/>
  <c r="AE37" i="1" s="1"/>
  <c r="Z30" i="1"/>
  <c r="AA30" i="1" s="1"/>
  <c r="AA37" i="1" s="1"/>
  <c r="AT28" i="1"/>
  <c r="AU28" i="1" s="1"/>
  <c r="AD28" i="1"/>
  <c r="AE28" i="1" s="1"/>
  <c r="AT27" i="1"/>
  <c r="AU27" i="1" s="1"/>
  <c r="AD27" i="1"/>
  <c r="AE27" i="1" s="1"/>
  <c r="AT26" i="1"/>
  <c r="AU26" i="1" s="1"/>
  <c r="AP26" i="1"/>
  <c r="AQ26" i="1" s="1"/>
  <c r="AD26" i="1"/>
  <c r="AE26" i="1" s="1"/>
  <c r="Z26" i="1"/>
  <c r="AA26" i="1" s="1"/>
  <c r="AT25" i="1"/>
  <c r="AU25" i="1" s="1"/>
  <c r="AS25" i="1"/>
  <c r="AD25" i="1"/>
  <c r="AC25" i="1"/>
  <c r="AE25" i="1" s="1"/>
  <c r="AT24" i="1"/>
  <c r="AS24" i="1"/>
  <c r="AU24" i="1" s="1"/>
  <c r="AQ24" i="1"/>
  <c r="AP24" i="1"/>
  <c r="AO24" i="1"/>
  <c r="AD24" i="1"/>
  <c r="AE24" i="1" s="1"/>
  <c r="AC24" i="1"/>
  <c r="Z24" i="1"/>
  <c r="Y24" i="1"/>
  <c r="AA24" i="1" s="1"/>
  <c r="AT23" i="1"/>
  <c r="AU23" i="1" s="1"/>
  <c r="AD23" i="1"/>
  <c r="AE23" i="1" s="1"/>
  <c r="AT22" i="1"/>
  <c r="AU22" i="1" s="1"/>
  <c r="AP22" i="1"/>
  <c r="AQ22" i="1" s="1"/>
  <c r="AD22" i="1"/>
  <c r="AE22" i="1" s="1"/>
  <c r="Z22" i="1"/>
  <c r="AA22" i="1" s="1"/>
  <c r="AA29" i="1" s="1"/>
  <c r="AT20" i="1"/>
  <c r="AU20" i="1" s="1"/>
  <c r="AD20" i="1"/>
  <c r="AE20" i="1" s="1"/>
  <c r="AT19" i="1"/>
  <c r="AU19" i="1" s="1"/>
  <c r="AD19" i="1"/>
  <c r="AE19" i="1" s="1"/>
  <c r="AT18" i="1"/>
  <c r="AU18" i="1" s="1"/>
  <c r="AP18" i="1"/>
  <c r="AQ18" i="1" s="1"/>
  <c r="AD18" i="1"/>
  <c r="AE18" i="1" s="1"/>
  <c r="Z18" i="1"/>
  <c r="AA18" i="1" s="1"/>
  <c r="AT17" i="1"/>
  <c r="AS17" i="1"/>
  <c r="AU17" i="1" s="1"/>
  <c r="AE17" i="1"/>
  <c r="AD17" i="1"/>
  <c r="AC17" i="1"/>
  <c r="AT16" i="1"/>
  <c r="AU16" i="1" s="1"/>
  <c r="AS16" i="1"/>
  <c r="AP16" i="1"/>
  <c r="AO16" i="1"/>
  <c r="AQ16" i="1" s="1"/>
  <c r="AD16" i="1"/>
  <c r="AC16" i="1"/>
  <c r="AE16" i="1" s="1"/>
  <c r="AA16" i="1"/>
  <c r="Z16" i="1"/>
  <c r="Y16" i="1"/>
  <c r="AT15" i="1"/>
  <c r="AU15" i="1" s="1"/>
  <c r="AD15" i="1"/>
  <c r="AE15" i="1" s="1"/>
  <c r="AT14" i="1"/>
  <c r="AU14" i="1" s="1"/>
  <c r="AP14" i="1"/>
  <c r="AQ14" i="1" s="1"/>
  <c r="AD14" i="1"/>
  <c r="AE14" i="1" s="1"/>
  <c r="Z14" i="1"/>
  <c r="AA14" i="1" s="1"/>
  <c r="AA21" i="1" s="1"/>
  <c r="AT12" i="1"/>
  <c r="AU12" i="1" s="1"/>
  <c r="AS12" i="1"/>
  <c r="AD12" i="1"/>
  <c r="AC12" i="1"/>
  <c r="AE12" i="1" s="1"/>
  <c r="AT11" i="1"/>
  <c r="AS11" i="1"/>
  <c r="AU11" i="1" s="1"/>
  <c r="AE11" i="1"/>
  <c r="AD11" i="1"/>
  <c r="AC11" i="1"/>
  <c r="AT10" i="1"/>
  <c r="AU10" i="1" s="1"/>
  <c r="AS10" i="1"/>
  <c r="AP10" i="1"/>
  <c r="AO10" i="1"/>
  <c r="AQ10" i="1" s="1"/>
  <c r="AD10" i="1"/>
  <c r="AC10" i="1"/>
  <c r="AE10" i="1" s="1"/>
  <c r="AA10" i="1"/>
  <c r="Z10" i="1"/>
  <c r="Y10" i="1"/>
  <c r="AP9" i="1"/>
  <c r="AQ9" i="1" s="1"/>
  <c r="AO9" i="1"/>
  <c r="Z9" i="1"/>
  <c r="Y9" i="1"/>
  <c r="AA9" i="1" s="1"/>
  <c r="AT8" i="1"/>
  <c r="AU8" i="1" s="1"/>
  <c r="AD8" i="1"/>
  <c r="AE8" i="1" s="1"/>
  <c r="AT7" i="1"/>
  <c r="AU7" i="1" s="1"/>
  <c r="AP7" i="1"/>
  <c r="AQ7" i="1" s="1"/>
  <c r="AD7" i="1"/>
  <c r="AE7" i="1" s="1"/>
  <c r="Z7" i="1"/>
  <c r="AA7" i="1" s="1"/>
  <c r="AA13" i="1" s="1"/>
  <c r="AE21" i="1" l="1"/>
  <c r="AE29" i="1"/>
  <c r="AE53" i="1"/>
  <c r="AA66" i="1"/>
  <c r="AA79" i="1" s="1"/>
  <c r="AA73" i="1"/>
  <c r="AQ13" i="1"/>
  <c r="AQ21" i="1"/>
  <c r="AQ29" i="1"/>
  <c r="AU37" i="1"/>
  <c r="AQ53" i="1"/>
  <c r="AE13" i="1"/>
  <c r="AE79" i="1" s="1"/>
  <c r="AE45" i="1"/>
  <c r="AU13" i="1"/>
  <c r="AU21" i="1"/>
  <c r="AU29" i="1"/>
  <c r="AU53" i="1"/>
  <c r="AQ79" i="1" l="1"/>
  <c r="AU79" i="1"/>
</calcChain>
</file>

<file path=xl/sharedStrings.xml><?xml version="1.0" encoding="utf-8"?>
<sst xmlns="http://schemas.openxmlformats.org/spreadsheetml/2006/main" count="2824" uniqueCount="927">
  <si>
    <t>FORMULACIÓN Y SEGUIMIENTO DEL PLAN DE ACCIÓN INSTITUCIONAL 2020</t>
  </si>
  <si>
    <t>Fecha:</t>
  </si>
  <si>
    <t>Versión:</t>
  </si>
  <si>
    <t>Código:</t>
  </si>
  <si>
    <t>PE-F-1</t>
  </si>
  <si>
    <t>ARTICULACIÓN</t>
  </si>
  <si>
    <t>INDICADOR DE PRODUCTO</t>
  </si>
  <si>
    <t>INDICADOR DE GESTIÓN</t>
  </si>
  <si>
    <t>RECURSOS</t>
  </si>
  <si>
    <t>RESPONSABLE</t>
  </si>
  <si>
    <t>REPORTE AVANCE MENSUAL ENERO</t>
  </si>
  <si>
    <t>REPORTE AVANCE MENSUAL FEBRERO</t>
  </si>
  <si>
    <t>REPORTE AVANCE MENSUAL MARZO</t>
  </si>
  <si>
    <t>PLAN NACIONAL DE DESARROLLO - PND</t>
  </si>
  <si>
    <t>PLAN ESTRATÉGICO INSTITUCIONAL</t>
  </si>
  <si>
    <t>MODELO INTEGRADO DE PLANEACIÓN Y GESTIÓN - MIPG</t>
  </si>
  <si>
    <t>SISTEMA DE GESTION DE LA  CALIDAD</t>
  </si>
  <si>
    <t>DEPENDENCIA</t>
  </si>
  <si>
    <t>GRUPO</t>
  </si>
  <si>
    <t>Avance indicador de producto</t>
  </si>
  <si>
    <t>Avance indicador de gestión</t>
  </si>
  <si>
    <t>Nombre/Periodo PND</t>
  </si>
  <si>
    <t>Capitulo</t>
  </si>
  <si>
    <t>Objetivo del Capítulo</t>
  </si>
  <si>
    <t>Línea Estratégica</t>
  </si>
  <si>
    <t>Dimensión</t>
  </si>
  <si>
    <t>Política MIPG</t>
  </si>
  <si>
    <t>Macroproceso</t>
  </si>
  <si>
    <t>Proceso</t>
  </si>
  <si>
    <t>Subproceso</t>
  </si>
  <si>
    <t>FÓRMULA INDICADOR DE PRODUCTO</t>
  </si>
  <si>
    <t>UNIDAD DE MEDIDA</t>
  </si>
  <si>
    <t>LÍNEA BASE</t>
  </si>
  <si>
    <t>META DE PRODUCTO</t>
  </si>
  <si>
    <t>FÓRMULA INDICADOR DE GESTIÓN</t>
  </si>
  <si>
    <t>META DE GESTIÓN</t>
  </si>
  <si>
    <t>POR GRUPO</t>
  </si>
  <si>
    <t>POR DEPENDENCIA</t>
  </si>
  <si>
    <t>Responsable</t>
  </si>
  <si>
    <t>Avance mes</t>
  </si>
  <si>
    <t xml:space="preserve">Meta </t>
  </si>
  <si>
    <t>Porcentaje de avance</t>
  </si>
  <si>
    <t>Avance cualitativo</t>
  </si>
  <si>
    <t>Pacto por Colombia Pacto por la equidad</t>
  </si>
  <si>
    <t>IV. Pacto por la sostenibilidad: producir conservando y conservar produciendo</t>
  </si>
  <si>
    <t>Instituciones ambientales modernas, apropiación social de la biodiversidad y manejo efectivo de los conflictos socioambientales</t>
  </si>
  <si>
    <t>Contribuir al desarrollo sostenible ambiental a partir de un efectivo proceso de evaluación y seguimiento.</t>
  </si>
  <si>
    <t>Gestión con valores para resultados</t>
  </si>
  <si>
    <t>Seguimiento y evaluación del desempeño institucional</t>
  </si>
  <si>
    <t>Misional</t>
  </si>
  <si>
    <t>Gestión y licenciamiento ambiental</t>
  </si>
  <si>
    <t>Evaluación</t>
  </si>
  <si>
    <t>SES</t>
  </si>
  <si>
    <t>Subdirección de Evaluación y Seguimiento</t>
  </si>
  <si>
    <t>Actos administrativos expedidos para resolver las solicitudes de evaluación de licenciamiento ambiental</t>
  </si>
  <si>
    <t># de actos administrativos que resuelven solicitudes de evaluación de licenciamiento ambiental</t>
  </si>
  <si>
    <t>Número</t>
  </si>
  <si>
    <t>Visitas técnicas de evaluación de solicitudes de licenciamiento ambiental</t>
  </si>
  <si>
    <t># de visitas técnicas realizadas para el proceso de evaluación de licencias ambientales</t>
  </si>
  <si>
    <t>JOSEFINA HELENA SANCHEZ CUERVO [Subdirector(a) de Evaluación y Seguimiento]</t>
  </si>
  <si>
    <t xml:space="preserve">A corte 31 de enero de 2020 se han expedido 41 actos administrativos para resolver las solicitudes de evaluación de licencias ambientales </t>
  </si>
  <si>
    <t>A corte 31 de enero de 2020 se han realizado 6 visitas tecnicas  para el proceso de evaluación de licencias ambientales</t>
  </si>
  <si>
    <t xml:space="preserve">A corte 29 de febrero de 2020 se han expedido 77 actos administrativos para resolver las solicitudes de evaluación de licencias ambientales </t>
  </si>
  <si>
    <t>A corte 29 de febrero de 2020 se han realizado 17 visitas tecnicas  para el proceso de evaluación de licencias ambientales</t>
  </si>
  <si>
    <t xml:space="preserve">A corte 31 de marzo de  2020 se han expedido 108 actos administrativos para resolver las solicitudes de evaluación de licencias ambientales </t>
  </si>
  <si>
    <t>A corte 31 de marzo de 2020 se han realizado 20 visitas tecnicas  para el proceso de evaluación de licencias ambientales</t>
  </si>
  <si>
    <t>Conceptos técnicos emitidos para resolver las solicitudes de evaluación de licenciamiento ambiental</t>
  </si>
  <si>
    <t># de conceptos técnicos realizados para resolver las solicitudes de evaluación de licenciamiento ambiental</t>
  </si>
  <si>
    <t>A corte 31 de enero de 2020 se han elaborado 24 conceptos técnicos para resolver las solicitudes de evaluación de licencias ambientales</t>
  </si>
  <si>
    <t>A corte 29 de febrero de 2020 se han elaborado 52 conceptos técnicos para resolver las solicitudes de evaluación de licencias ambientales</t>
  </si>
  <si>
    <t>A corte 31 de marzo de  2020 se han elaborado 77 conceptos técnicos para resolver las solicitudes de evaluación de licencias ambientales</t>
  </si>
  <si>
    <t>Evaluación y Resultados</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</si>
  <si>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</si>
  <si>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</si>
  <si>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Porcentaje</t>
  </si>
  <si>
    <t>A corte 31 de enero de 2002 la ANLA debía resolver 16 solicitudes de licenciamiento ambiental; (5) Nuevas, (11) Modificaciones, las cuales fueron resueltas  oportunamente.</t>
  </si>
  <si>
    <t>A corte 29 de  febrero de 2020  la ANLA debía resolver 28 solicitudes de licenciamiento ambiental;  (13) Nuevas, (15) Modificaciones las cuales se resolvieron oportunamente.</t>
  </si>
  <si>
    <t>A corte 31 de marzo de  2020  la ANLA debía resolver 39 solicitudes de licenciamiento ambiental;  (20) Nuevas, (19) Modificaciones las cuales se resolvieron oportunamente.</t>
  </si>
  <si>
    <t>Seguimiento</t>
  </si>
  <si>
    <t>Actos administrativos expedidos para resolver el seguimiento a proyectos licenciados.</t>
  </si>
  <si>
    <t># de actos administrativos que acogen el seguimiento realizado a los proyectos licenciados.</t>
  </si>
  <si>
    <t>Visitas técnicas de seguimiento a proyectos con licenciamiento ambiental</t>
  </si>
  <si>
    <t># de Visitas técnicas de seguimiento a proyectos con licenciamiento ambiental</t>
  </si>
  <si>
    <t>A corte 31 de enero de 2020 se han expedido 49 actos administrativos que acogen el seguimiento a proyectos licenciados, de los cuales 41 son de vigencias anteriores (rezago) y 8 de vigencia actual.</t>
  </si>
  <si>
    <t>A corte 31 de enero de 2020 se han realizado 87 visitas técnicas de seguimiento de licenciamiento ambiental</t>
  </si>
  <si>
    <t>A corte 29 de febrero de 2020 se han expedido 190 actos administrativos que acogen el seguimiento a proyectos licenciados, de los cuales 65 son de vigencias anteriores (rezago) y 125 de vigencia actual.</t>
  </si>
  <si>
    <t>A corte 29 de febrero de 2020 se han realizado 192 visitas técnicas de seguimiento de licenciamiento ambiental</t>
  </si>
  <si>
    <t>A corte 31 de marzo de 2020 se han expedido 340 actos administrativos que acogen el seguimiento a proyectos licenciados, de los cuales 77 son de vigencias anteriores (rezago) y 263 de vigencia actual.</t>
  </si>
  <si>
    <t>A corte 31 de marzo de 2020 se han realizado 274 visitas técnicas de seguimiento de licenciamiento ambiental</t>
  </si>
  <si>
    <t>Conceptos técnicos de seguimiento a licencias ambientales</t>
  </si>
  <si>
    <t># de Conceptos técnicos de seguimiento a licencias ambientales</t>
  </si>
  <si>
    <t>A corte 31 de enero de 2020 se han finalizado 65 Conceptos técnicos de seguimiento a  proyectos licenciados (5 con visita de vigencias anteriores y 60 documentales vigencia actual)</t>
  </si>
  <si>
    <t>A corte 29 de febrero de 2020 se han finalizado 224 Conceptos técnicos de seguimiento a  proyectos licenciados (57 CT con visita y  167 documentales )</t>
  </si>
  <si>
    <t>A corte 31 de marzo de 2020 se han finalizado 450 Conceptos técnicos de seguimiento a  proyectos licenciados (170 CT con visita y  280 documentales )</t>
  </si>
  <si>
    <t>Porcentaje de seguimientos de licenciamiento ambiental con oralidad</t>
  </si>
  <si>
    <t>Número de seguimientos finalizados con oralidad / Número total de seguimientos realizados de licenciamiento ambiental</t>
  </si>
  <si>
    <t>A corte 31 de enero de 2020 se han cuminado 8 seguimientos a  proyectos licenciados de vigencia actual,de los cuales ninguno se finalizò con oralidad</t>
  </si>
  <si>
    <t>A corte 29 de febrero de 2020 se han cuminado 21 seguimientos de vigencia actual, de los cuales 16 fueron finalizados con oralidad. Para este indicador no se incluyen los seguimientos realizados por el sector de  Agroquimicos debido al tipo de poryectos a los cuales se les realiza seguimiento (DTA, Plantas y  Zoocriaderos) y en su mayoria documentales.</t>
  </si>
  <si>
    <t>A corte 31 de marzo de 2020 se han cuminado 48 seguimientos de vigencia actual, de los cuales 27 fueron finalizados con oralidad. Para este indicador no se incluyen los seguimientos realizados por el sector de  Agroquimicos debido al tipo de poryectos a los cuales se les realiza seguimiento (DTA, Plantas y  Zoocriaderos) y en su mayoria documentales.</t>
  </si>
  <si>
    <t>Promedio de avance en metas de Producto</t>
  </si>
  <si>
    <t>Promedio de avance en metas de Gestión</t>
  </si>
  <si>
    <t>Hidrocarburos</t>
  </si>
  <si>
    <t>ANA KATHERINE ARTETA BARRAGAN [Coordinador(a)]</t>
  </si>
  <si>
    <t xml:space="preserve">A corte 31 de enero de 2020 el secto de hidrocarburos ha expedido 3 actos administrativos para resolver las solicitudes de evaluación de licencias ambientales </t>
  </si>
  <si>
    <t>A corte 31 de enero de 2020 se han realizado 3 visitas tecnicas  para el proceso de evaluación de licencias ambientales</t>
  </si>
  <si>
    <t xml:space="preserve">A corte 29 de febrero de 2020 el sector de hidrocarburos ha expedido 8 actos administrativos para resolver las solicitudes de evaluación de licencias ambientales </t>
  </si>
  <si>
    <t>A corte 29 de febrero de 2020 se han realizado 3 visitas tecnicas  para el proceso de evaluación de licencias ambientales</t>
  </si>
  <si>
    <t xml:space="preserve">A corte 31 de marzo de  2020 el sector de hidrocarburos ha expedido 11 actos administrativos para resolver las solicitudes de evaluación de licencias ambientales </t>
  </si>
  <si>
    <t>A corte 31 de marzo de  2020 se han realizado 3 visitas tecnicas  para el proceso de evaluación de licencias ambientales</t>
  </si>
  <si>
    <t>A corte 31 de enero de 2020 se han elaborado 4 conceptos técnicos para resolver las solicitudes de evaluación de licencias ambientales</t>
  </si>
  <si>
    <t>A corte 29 de febrero de 2020 se han elaborado 7 conceptos técnicos para resolver las solicitudes de evaluación de licencias ambientales</t>
  </si>
  <si>
    <t>A corte 31 de marzo de  2020 se han elaborado 9 conceptos técnicos para resolver las solicitudes de evaluación de licencias ambientales</t>
  </si>
  <si>
    <t>(Número de actos administrativos finalizados que resuelven solicitudes de evaluación a licencias ambientales dentro de téminos del decreto 1076 /Número de solicitudes de licenciamiento ambiental a atender con vencimiento de términos) * 100</t>
  </si>
  <si>
    <t>Visitas a solicitudes de evaluación (nuevas y modificaciones)efectuadas dentro de los tiempos establecidos en la normatividad vigente.</t>
  </si>
  <si>
    <t>(# de visitas de evaluación realizadas dentro de téminos del decreto 1076 /# de expedientes de evaluación que requieran visita con vencimiento de términos de la etapa) * 100</t>
  </si>
  <si>
    <t>A corte 31 de enero de 2020 el sector debía resolver 3 solicitudes de licenciamiento ambiental; (2) Nuevas, (1) Modificaciones y  las cuales fueron resueltas  oportunamente.</t>
  </si>
  <si>
    <t>A corte 31 de enero de 2020  el sector de hidrocarburos debia realizar 2 visitas tecnicas, las cuales se realizaron oportunamente.</t>
  </si>
  <si>
    <t>A corte 29 de febrero de 2020 el sector debía resolver 6 solicitudes de licenciamiento ambiental;  (3) Nuevas, (3) Modificaciones, las cuales fueron resueltas  oportunamente.</t>
  </si>
  <si>
    <t>A corte 29 de febrero de 2020 el sector de hidrocarburos debia realizar 3 visitas tecnicas, las cuales se realizaron oportunamente.</t>
  </si>
  <si>
    <t>A corte 31 de marzo de  2020 el sector debía resolver 9 solicitudes de licenciamiento ambiental;  (5) Nuevas, (4) Modificaciones, las cuales fueron resueltas  oportunamente.</t>
  </si>
  <si>
    <t>A corte 31 de marzo de  2020 el sector de hidrocarburos debia realizar 3 visitas tecnicas, las cuales se realizaron oportunamente.</t>
  </si>
  <si>
    <t>Conceptos Técnicos finalizados a solicitudes de evaluación (nuevas y modificaciones) dentro de los tiempos establecidos internamente</t>
  </si>
  <si>
    <t>(# de conceptos técnicos de evaluación finalizados dentro de téminos internos / # de expedientes de evaluación con vencimiento de términos de la etapa de finalización del concepto técnico) * 100</t>
  </si>
  <si>
    <t>A corte 31 de enero de 2020  el sector de hidrocarburos debia finalizar 3 conceptos tecnicos, los cuales finalizaron fuera de terminos.</t>
  </si>
  <si>
    <t>A corte 29 de febrero de 2020  el sector de hidrocarburos debia finalizar 6 conceptos tecnicos, los cuales finalizaron fuera de terminos.</t>
  </si>
  <si>
    <t>A corte 31 de marzo de  2020  el sector de hidrocarburos debia finalizar 9 conceptos tecnicos, los cuales finalizaron fuera de terminos.</t>
  </si>
  <si>
    <t>GISELA GUIJARRO CARDOZO [Coordinador(a)]</t>
  </si>
  <si>
    <t>A corte 31 de enero de 2020 se han expedido 25 actos administrativos que acogen el seguimiento a proyectos licenciados, los cuales corresponden a rezago vigencia 2019</t>
  </si>
  <si>
    <t>A corte 31 de enero de 2020 se realizaron 36 visitas de seguimiento a los proyectos licenciados por el sector de hidrocarburos</t>
  </si>
  <si>
    <t>A corte 29 de febrero de 2020 se han expedido 40 actos administrativos que acogen el seguimiento a proyectos licenciados, de los cuales 39  corresponden a rezago vigencia 2019 y 1 a vigencia actual.</t>
  </si>
  <si>
    <t>A corte 29 de febrero de 2020 se realizaron 93 visitas de seguimiento a los proyectos licenciados por el sector de hidrocarburos</t>
  </si>
  <si>
    <t>A corte 31 de marzo de 2020 se han expedido 66 actos administrativos que acogen el seguimiento a proyectos licenciados, de los cuales 50  corresponden a rezago vigencia 2019 y 16 a vigencia actual.</t>
  </si>
  <si>
    <t>A corte 31 de marzo de 2020 se realizaron 129 visitas de seguimiento a los proyectos licenciados por el sector de hidrocarburos</t>
  </si>
  <si>
    <t>Conceptos técnicos de seguimiento con visita realizado a proyectos programados en la vigencia actual</t>
  </si>
  <si>
    <t># de conceptos técnicos de seguimiento con visita aprobados en la vigencia actual</t>
  </si>
  <si>
    <t>A corte 31 de enero de 2020 el sector de hidrocarburos  ha expidido 2 CT de rezago con visita</t>
  </si>
  <si>
    <t>A corte 29 de febrero de 2020 el sector de hidrocarburos  ha expidido 17 CT con visita de los cuales 15 corresponden a vigencia actual y 2 a rezagos</t>
  </si>
  <si>
    <t>A corte 31 de marzo de 2020 el sector de hidrocarburos  ha expidido 74 CT con visita de los cuales 71 corresponden a vigencia actual y 3 a rezagos</t>
  </si>
  <si>
    <t>Conceptos técnicos de seguimiento documental de proyectos priorizados en la vigencia actual</t>
  </si>
  <si>
    <t># de conceptos técnicos de seguimiento documental aprobados en la vigencia actual</t>
  </si>
  <si>
    <t>A corte  31 de enero de 2020 el sector de hidrocarburos  ha expidido 2 CT documental vigencia actual</t>
  </si>
  <si>
    <t>A corte  29 de febrero de 2020 el sector de hidrocarburos  ha expidido 4 CT documental vigencia actual</t>
  </si>
  <si>
    <t>A corte  31 de marzo de 2020 el sector de hidrocarburos  ha expidido 6 CT documental vigencia actual</t>
  </si>
  <si>
    <t>Infraestructura</t>
  </si>
  <si>
    <t>DAVID GREGORIO FLOREZ OLAYA [Coordinador(a)]</t>
  </si>
  <si>
    <t xml:space="preserve">A corte 31 de enero de 2020 el sector de infraestructura ha expedido 2 actos administrativos para resolver las solicitudes de evaluación de licencias ambientales </t>
  </si>
  <si>
    <t>A corte 31 de enero de 2020 se han realizado 1 visita tecnica  para el proceso de evaluación de licencias ambientales</t>
  </si>
  <si>
    <t xml:space="preserve">A corte 29 de febrero de 2020 el sector de infraestructura ha expedido 4 actos administrativos para resolver las solicitudes de evaluación de licencias ambientales </t>
  </si>
  <si>
    <t>A corte 29 de febrero de 2020 se han realizado 7 visitas tecnicas  para el proceso de evaluación de licencias ambientales</t>
  </si>
  <si>
    <t xml:space="preserve">A corte 31 de marzo de  2020 el sector de infraestructura ha expedido 7 actos administrativos para resolver las solicitudes de evaluación de licencias ambientales </t>
  </si>
  <si>
    <t>A corte 31 de marzo de  2020 se han realizado 8 visitas tecnicas  para el proceso de evaluación de licencias ambientales</t>
  </si>
  <si>
    <t xml:space="preserve">A corte 31 de enero de 2020 el sector, no ha expedido CT </t>
  </si>
  <si>
    <t>A corte 29 de febrero de 2020 el sector ha elaborado 3  conceptos técnicos para resolver las solicitudes de evaluación de licencias ambientales</t>
  </si>
  <si>
    <t>A corte 31 de marzo de  2020 el sector ha elaborado 6  conceptos técnicos para resolver las solicitudes de evaluación de licencias ambientales</t>
  </si>
  <si>
    <t>A corte 31 de enero de 2020 el sector de infraestructura debía resolver 3 solicitudes de licenciamiento ambiental; (0) Nuevas, (3) Modificaciones, las cuales se resolvieron oportunamente.</t>
  </si>
  <si>
    <t>A corte 31 de enero de 2020  el sector de infraestructura debia realizar 1 visita tecnica, la cual se realizo oportunamente.</t>
  </si>
  <si>
    <t>A corte 29 de febrero de 2020 el sector de infraestructura debía resolver 6 solicitudes de licenciamiento ambiental;  (2) Nuevas, (4) Modificaciones, las cuales se resolvieron oportunamente.</t>
  </si>
  <si>
    <t>A corte 29 de febrero de 2020  el sector de infraestructura debia realizar 7 visitas tecnicas, las cuales se realizaron oportunamente.</t>
  </si>
  <si>
    <t>A corte 31 de marzo de  2020 el sector de infraestructura debía resolver 7 solicitudes de licenciamiento ambiental;  (2) Nuevas, (5) Modificaciones, las cuales se resolvieron oportunamente.</t>
  </si>
  <si>
    <t>A corte 31 de marzo de  2020 el sector de infraestructura debia realizar 8 visitas tecnicas, las cuales se realizaron oportunamente.</t>
  </si>
  <si>
    <t>A corte 31 de enero de 2020  el sector de infraestructura debia finalizar 1 concepto tecnico, el  cual se finalizo fuera de terminos.</t>
  </si>
  <si>
    <t>A corte 29 de febrero de 2020  el sector de infraestructura debia finalizar 4 conceptos tecnicos, de los  cuales finalizo 1 oportunamente</t>
  </si>
  <si>
    <t>A corte 31 de marzo de  2020 el sector de infraestructura debia finalizar 7 conceptos tecnicos, de los  cuales finalizo 1 oportunamente</t>
  </si>
  <si>
    <t>A corte 31 de enero de 2020 se han expedido 9 actos administrativos que acogen el seguimiento a proyectos licenciados, los cuales corresponden al rezago vigencia 2019</t>
  </si>
  <si>
    <t>A corte 31 de enero de 2020 se realizaron 29 visitas de seguimiento a los proyectos licenciados por el sector de infraestructura</t>
  </si>
  <si>
    <t>A corte 29 de febrero de 2020 se han expedido 27 actos administrativos que acogen el seguimiento a proyectos licenciados, de los cuales 15 corresponden a vigencia actual y 12 a rezagos vigencia 2019</t>
  </si>
  <si>
    <t>A corte 29 de febrero de 2020 se realizaron 41 visitas de seguimiento a los proyectos licenciados por el sector de infraestructura</t>
  </si>
  <si>
    <t>A corte 31 de marzo de 2020 se han expedido 35 actos administrativos que acogen el seguimiento a proyectos licenciados, de los cuales 22 corresponden a vigencia actual y 13 a rezagos vigencia 2019</t>
  </si>
  <si>
    <t>A corte 31 de marzo de 2020 se realizaron 65 visitas de seguimiento a los proyectos licenciados por el sector de infraestructura</t>
  </si>
  <si>
    <t>A corte 31 de enero de 2020 el sector ha expidido 1 CT con visita de rezago vigencia 2019</t>
  </si>
  <si>
    <t>A corte 29 de febrero de 2020 el sector ha expidido 17 CT con visita, de los cuales 16 corresponde a vigencia actual y 1 a rezago vigencia 2019</t>
  </si>
  <si>
    <t>A corte 31 de marzo de 2020 el sector ha expidido 44 CT con visita, de los cuales 41 corresponde a vigencia actual y 3 a rezagos vigencia 2019</t>
  </si>
  <si>
    <t>A corte 31 de enero de 2020 el sector ha expidido 1 CT documental</t>
  </si>
  <si>
    <t>A corte 29 de febrero de 2020 el sector ha expidido 6 CT documentales</t>
  </si>
  <si>
    <t>A corte 31 de marzo de 2020 el sector ha expidido 7 CT documentales</t>
  </si>
  <si>
    <t>Energía</t>
  </si>
  <si>
    <t>JOHNATAN RICARDO REYES YUNDA [Coordinador(a)]</t>
  </si>
  <si>
    <t xml:space="preserve">A corte 31 de enero de 2020 el sector de energia ha expedido 3 actos administrativos para resolver las solicitudes de evaluación de licencias ambientales </t>
  </si>
  <si>
    <t>A corte 31 de enero de 2020 el sector no ha realizado ninguna visita tecnica para el proceso de evaluación de licencias ambientales</t>
  </si>
  <si>
    <t xml:space="preserve">A corte 29 de febrero de 2020 el sector de energia ha expedido 7 actos administrativos para resolver las solicitudes de evaluación de licencias ambientales </t>
  </si>
  <si>
    <t>A corte 29 de febrero de 2020 el sector ha realizado 2 visitas tecnicas para el proceso de evaluación de licencias ambientales</t>
  </si>
  <si>
    <t xml:space="preserve">A corte 31 de marzo de  2020 el sector de energia ha expedido 9 actos administrativos para resolver las solicitudes de evaluación de licencias ambientales </t>
  </si>
  <si>
    <t>A corte 31 de marzo de  2020 el sector ha realizado 3 visitas tecnicas para el proceso de evaluación de licencias ambientales</t>
  </si>
  <si>
    <t>A corte 31 de enero de 2020 el sector, ha expedido 3 CT con visita</t>
  </si>
  <si>
    <t>A corte 29 de febrero de 2020 el sector, ha expedido 7 conceptos tecnicos para resolver las solicitudes de evaluación de licencias ambientales</t>
  </si>
  <si>
    <t>A corte 31 de marzo de  2020 el sector, ha expedido 8 conceptos tecnicos para resolver las solicitudes de evaluación de licencias ambientales</t>
  </si>
  <si>
    <t>A corte 31 de enero de 2020 el sector de energia debía resolver 3 solicitudes de licenciamiento ambiental; (0) Nuevas, (3) Modificaciones, las cuales se resolvieron oportunamente.</t>
  </si>
  <si>
    <t>A corte 31 de enero de 2020  el sector de energia no tenia visitas tecnicas de evaluacion con vencimiento de termnos.</t>
  </si>
  <si>
    <t>A corte 29 de febrero de 2020 el sector de energia debía resolver 5 solicitudes de licenciamiento ambiental;  (1) Nuevas, (4) Modificaciones, las cuales se resolvieron oportunamente.</t>
  </si>
  <si>
    <t>A corte 29 de febrero de 2020  el sector de energia tenia que realizar 1 visita tecnica de evaluacion, la cual se adelanto oportunamente.</t>
  </si>
  <si>
    <t>A corte 31 de marzo de  2020 el sector de energia debía resolver 7 solicitudes de licenciamiento ambiental;  (1) Nuevas, (6) Modificaciones, las cuales se resolvieron oportunamente.</t>
  </si>
  <si>
    <t>A corte 31 de marzo de 2020  el sector de energia tenia que realizar 2 visitas tecnicas de evaluacion, la cual se adelanto oportunamente.</t>
  </si>
  <si>
    <t>A corte 31 de enero de 2020  el sector de energia debia finalizar 6 conceptos tecnicos, y se finalizo 1 en terminos.</t>
  </si>
  <si>
    <t>A corte 29 de febrero de 2020  el sector de energia debia finalizar 7 conceptos tecnicos, y se finalizo 1 en terminos.</t>
  </si>
  <si>
    <t>A corte 31 de marzo de  2020  el sector de energia debia finalizar 7 conceptos tecnicos, y ninguno se finalizo en terminos.</t>
  </si>
  <si>
    <t>A corte 31 de enero de 2020 se han expedido 4 actos administrativos que acogen el seguimiento a proyectos licenciados, los cuales corresponden al rezago vigencia 2019</t>
  </si>
  <si>
    <t>A corte 31 de enero de 2020 se realizaron 8 visitas de seguimiento a los proyectos licenciados por el sector de energia</t>
  </si>
  <si>
    <t>A corte 29 de febrero de 2020 se han expedido 11 actos administrativos que acogen el seguimiento a proyectos licenciados, de los cuales 5 corresponden  a vigencia actual y 6 a rezago vigencia 2019</t>
  </si>
  <si>
    <t>A corte 29 de febrero de 2020 se realizaron 22 visitas de seguimiento a los proyectos licenciados por el sector de energia</t>
  </si>
  <si>
    <t>A corte 31 de marzo de 2020 se han expedido 15 actos administrativos que acogen el seguimiento a proyectos licenciados, de los cuales 9 corresponden  a vigencia actual y 6 a rezago vigencia 2019</t>
  </si>
  <si>
    <t>A corte 31 de marzo de 2020 se realizaron 30 visitas de seguimiento a los proyectos licenciados por el sector de energia</t>
  </si>
  <si>
    <t xml:space="preserve">A corte 31 de enero de 2020 el sector ha expidido 2 CT con visita correspondiente a rezago 2019   </t>
  </si>
  <si>
    <t xml:space="preserve">A corte 29 de febrero de 2020 el sector ha expidido 11 CT con visita, de los cuales 8 corresponden a vigencia actual y 3 a rezago 2019   </t>
  </si>
  <si>
    <t xml:space="preserve">A corte 31 de marzo de 2020 el sector ha expidido 24 CT con visita, de los cuales 21 corresponden a vigencia actual y 3 a rezago 2019   </t>
  </si>
  <si>
    <t>A corte 29 de febrero de 2020 el sector ha expidido 2 CT documentales</t>
  </si>
  <si>
    <t>A corte 31 de marzo de 2020 el sector ha expidido 4 CT documentales</t>
  </si>
  <si>
    <t>Minería</t>
  </si>
  <si>
    <t>GABRIEL EDUARDO LOPEZ ULLOA [Coordinador(a)]</t>
  </si>
  <si>
    <t xml:space="preserve">A corte 31 de enero de 2020 el sector de mineria ha expedido 3 actos administrativos para resolver las solicitudes de evaluación de licencias ambientales </t>
  </si>
  <si>
    <t xml:space="preserve">A corte 29 de febrero de 2020 el sector de mineria ha expedido 3 actos administrativos para resolver las solicitudes de evaluación de licencias ambientales </t>
  </si>
  <si>
    <t>A corte 29 de febrero de 2020 el sector ha realizado 3  visitas tecnicas para el proceso de evaluación de licencias ambientales</t>
  </si>
  <si>
    <t xml:space="preserve">A corte 31 de marzo de 2020 el sector de mineria ha expedido 6 actos administrativos para resolver las solicitudes de evaluación de licencias ambientales </t>
  </si>
  <si>
    <t>A corte 31 de marzo de 2020 el sector ha realizado 4  visitas tecnicas para el proceso de evaluación de licencias ambientales</t>
  </si>
  <si>
    <t>A corte 29 de febrero de 2020 el sector ha expedido 3 conceptos tecnicos para resolver las solicitudes de evaluación de licencias ambientales</t>
  </si>
  <si>
    <t>A corte 31 de marzo de 2020 el sector ha expedido 5 conceptos tecnicos para resolver las solicitudes de evaluación de licencias ambientales</t>
  </si>
  <si>
    <t>A corte 31 de enero de 2020 el sector de Mineria debía resolver 3 solicitudes de licenciamiento ambiental; (0) Nuevas, (3) Modificaciones, las cuales fueron resueltas oportunamente.</t>
  </si>
  <si>
    <t>A corte 29 de febrero de 2020 el sector de Mineria debía resolver 3 solicitudes de licenciamiento ambiental; (0) Nuevas, (3) Modificaciones, las cuales fueron resueltas oportunamente.</t>
  </si>
  <si>
    <t>A corte 29 de febrero de 2020  el sector de mineria tenia  que realizar 4 visitas tecnicas de evaluacion, de las cuales se realizaron 3 oportunamente.</t>
  </si>
  <si>
    <t>A corte 31 de marzo de 2020 el sector de Mineria debía resolver 5 solicitudes de licenciamiento ambiental; (2) Nuevas, (3) Modificaciones, las cuales fueron resueltas oportunamente.</t>
  </si>
  <si>
    <t>A corte 31 de marzo de 2020  el sector de mineria tenia  que realizar 4 visitas tecnicas de evaluacion, de las cuales se realizaron 3 oportunamente.</t>
  </si>
  <si>
    <t>A corte 31 de enero de 2020  el sector de energia debia finalizar 2 conceptos tecnicos, los cuales no se culminaron fuera de terminos</t>
  </si>
  <si>
    <t>A corte 29 de febrero de 2020  el sector de mineria debia finalizar 3 conceptos tecnicos, los cuales se culminaron fuera de terminos</t>
  </si>
  <si>
    <t>A corte 31 de marzo de 2020  el sector de mineria debia finalizar 3 conceptos tecnicos, los cuales se culminaron fuera de terminos</t>
  </si>
  <si>
    <t>A corte 31 de enero de 2020 se han expedido 3 actos administrativos que acogen el seguimiento a proyectos licenciados, los cuales corresponden al rezago vigencia 2019</t>
  </si>
  <si>
    <t>A corte 31 de enero de 2020 el sector se ha realizado 1 visita de seguimiento</t>
  </si>
  <si>
    <t>A corte 29 de febrero de 2020 se han expedido 7 actos administrativos que acogen el seguimiento a proyectos licenciados, los cuales corresponden al rezago vigencia 2019</t>
  </si>
  <si>
    <t>A corte 29 de febrero de 2020 el sector se ha realizado 14 visitas de seguimiento</t>
  </si>
  <si>
    <t>A corte 31 de marzo de 2020 se han expedido 8 actos administrativos que acogen el seguimiento a proyectos licenciados, los cuales corresponden 1 a vigencia actual y 7 a rezago vigencia 2019</t>
  </si>
  <si>
    <t>A corte 31 de marzo de 2020 el sector se ha realizado 24 visitas de seguimiento</t>
  </si>
  <si>
    <t xml:space="preserve">A corte 31 de enero de 2020 el sector no ha elaborado CT con visita de seguimiemto    </t>
  </si>
  <si>
    <t>A corte 29 de febrero de 2020 el sector ha elaborado 3 CT con visita, de los cuales 1 corresponde a vigencia actual y 2 a rezago 2019.</t>
  </si>
  <si>
    <t>A corte 31 de marzo de 2020 el sector ha elaborado 5 CT con visita, de los cuales 3 corresponde a vigencia actual y 2 a rezago 2019.</t>
  </si>
  <si>
    <t xml:space="preserve">A corte 31 de enero de 2020 el sector no ha elaborado CT documentales de seguimiemto    </t>
  </si>
  <si>
    <t xml:space="preserve">A corte 29 de febrero de 2020 el sector ha elaborado 1 CT documental de seguimiemto    </t>
  </si>
  <si>
    <t xml:space="preserve">A corte 31 de marzo de 2020 el sector ha elaborado 2 CT documental de seguimiemto    </t>
  </si>
  <si>
    <t>Agroquímicos y Especiales</t>
  </si>
  <si>
    <t>JUAN DAVID HERRERA GOMEZ [Coordinador(a)]</t>
  </si>
  <si>
    <t xml:space="preserve">A corte 31 de enero de 2020 el sector de Agroquimicos ha expedido 30 actos administrativos para resolver las solicitudes de evaluación de licencias ambientales </t>
  </si>
  <si>
    <t>A corte 31 de enero de 2020 el sector realizo 2 visitas tecnicas para el proceso de evaluación de licencias ambientales</t>
  </si>
  <si>
    <t xml:space="preserve">A corte 29 de febrero de 2020 el sector de Agroquimicos ha expedido 55 actos administrativos para resolver las solicitudes de evaluación de licencias ambientales </t>
  </si>
  <si>
    <t>A corte 29 de febrero de 2020 el sector realizo 2 visitas tecnicas para el proceso de evaluación de licencias ambientales</t>
  </si>
  <si>
    <t xml:space="preserve">A corte 31 de marzo de 2020 el sector de Agroquimicos ha expedido 75 actos administrativos para resolver las solicitudes de evaluación de licencias ambientales </t>
  </si>
  <si>
    <t>A corte 31 de marzo de 2020 el sector realizo 2 visitas tecnicas para el proceso de evaluación de licencias ambientales</t>
  </si>
  <si>
    <t xml:space="preserve">A corte 31 de enero de 2020 el sector, ha expedido 14 CT con visita </t>
  </si>
  <si>
    <t xml:space="preserve">A corte 29 de febrero de 2020 el sector, ha expedido 32 CT para resolver las solicitudes de evaluación de licencias ambientales </t>
  </si>
  <si>
    <t xml:space="preserve">A corte 31 de marzo de 2020 el sector, ha expedido 49 CT para resolver las solicitudes de evaluación de licencias ambientales </t>
  </si>
  <si>
    <t>A viernes, 31 de enero de 2020 el sector de Agroquimicos debía resolver 4 solicitudes de licenciamiento ambiental; (3) Nuevas, (1) Modificaciones, las cuales fueron resueltas oportunamente.</t>
  </si>
  <si>
    <t>A corte 31 de enero de 2020  el sector de Agroquimicos 1 visita con vencimiento de terminos, la cual se realizo en terminos</t>
  </si>
  <si>
    <t>A viernes, 29 de febrero de 2020 el sector de Agroquimicos debía resolver 8 solicitudes de licenciamiento ambiental;  (7) Nuevas, (1) Modificaciones, las cuales fueron resueltas oportunamente.</t>
  </si>
  <si>
    <t>A corte 29 de febrero de 2020  el sector de Agroquimicos tenia  1 visita con vencimiento de terminos, la cual se realizo en terminos</t>
  </si>
  <si>
    <t>A corte 31 de marzo de 2020 el sector de Agroquimicos debía resolver 11 solicitudes de licenciamiento ambiental;  (10) Nuevas, (1) Modificaciones, las cuales fueron resueltas oportunamente.</t>
  </si>
  <si>
    <t>A corte 31 de marzo de 2020  el sector de Agroquimicos tenia  1 visita con vencimiento de terminos, la cual se realizo en terminos</t>
  </si>
  <si>
    <t>A corte 31 de enero de 2020  el sector de Agroquimicos debia finalizar 1 concepto tecnico, el cual se culmino en terminos</t>
  </si>
  <si>
    <t>A corte 29 de febrero de 2020  el sector de Agroquimicos debia finalizar 6 conceptos tecnicos, de los cuales finalizo 5 oportunamente.</t>
  </si>
  <si>
    <t>A corte 31 de marzo de 2020  el sector de Agroquimicos debia finalizar 9 conceptos tecnicos, de los cuales finalizo 8 oportunamente.</t>
  </si>
  <si>
    <t>A corte 31 de enero de 2020 se han expedido 8 actos administrativos que acogen el seguimiento a proyectos licenciados, los cuales corresponden a seguimientos vigencia actual</t>
  </si>
  <si>
    <t>A corte 31 de enero de 2020 el sector de Aguoquimicos  ha realizado 13 visitas de seguimiento</t>
  </si>
  <si>
    <t>A corte 29 de febrero de 2020 se han expedido 105 actos administrativos que acogen el seguimiento a proyectos licenciados, de los cuales 104 corresponden a vigencia actual y 1 a rezago 2019.</t>
  </si>
  <si>
    <t>A corte 29 de febrero de 2020 el sector de Aguoquimicos  ha realizado 22 visitas de seguimiento</t>
  </si>
  <si>
    <t>A corte 31 de marzo de 2020 se han expedido 216 actos administrativos que acogen el seguimiento a proyectos licenciados, de los cuales 215 corresponden a vigencia actual y 1 a rezago 2019.</t>
  </si>
  <si>
    <t>A corte 31 de marzo de 2020 el sector de Aguoquimicos  ha realizado 26 visitas de seguimiento</t>
  </si>
  <si>
    <t xml:space="preserve">A corte 29 de febrero de 2020 el sector ha elaborado 9 CT con visita de seguimiemto de los cuales 8 corresponde a vigencia actual y 1 a rezago.    </t>
  </si>
  <si>
    <t xml:space="preserve">A corte 31 de marzo de 2020 el sector ha elaborado 9 CT con visita de seguimiemto de los cuales 23 corresponde a vigencia actual y 1 a rezago.    </t>
  </si>
  <si>
    <t xml:space="preserve">A corte 31 de enero de 2020 el sector no ha elaborado 57 CT documentales de seguimiemto    </t>
  </si>
  <si>
    <t xml:space="preserve">A corte 29 de febrero de 2020 el sector ha elaborado 154 CT documentales de seguimiemto    </t>
  </si>
  <si>
    <t xml:space="preserve">A corte 31 de marzo de 2020 el sector ha elaborado 261 CT documentales de seguimiemto    </t>
  </si>
  <si>
    <t>Compensación y 1%</t>
  </si>
  <si>
    <t>Número de Actos administrativos numerados que incluyen el componente de inversión y 1% en cumplimiento Art. 321 PND</t>
  </si>
  <si>
    <t>Número de actos administrativos que acogen el seguimiento realizado a los expedientes priorizados con la obligación de inversión 1%</t>
  </si>
  <si>
    <t>YESENIA VASQUEZ AGUILERA [Líder]</t>
  </si>
  <si>
    <t xml:space="preserve">Durante el mes de enero de 2020, se adelanto 12 Oficios  de solictud  de información complementaria derivada del análisis de información en virtud del Articulo 321 de la Ley 1955.  De los anteriores 9 son de conceptos emitidos en vigencia 2019 y 3 de conceptos emitidos en vigencia 2020.
Adicionalemente se han expedido 108 Conceptos técnicos de análisis de información en virtud del Articulo 321 de la Ley 1955. </t>
  </si>
  <si>
    <t xml:space="preserve">A corte 29 de  febrero de 2020 se adelantaron 35 Oficios  de solictud  de información complementaria derivada del análisis de información en virtud del Articulo 321 de la Ley 1955 y  tres (3) Resoluciones.  De los anteriores 15 son de conceptos emitidos en vigencia 2019 y 23 de conceptos emitidos en vigencia 2020.
En lo corrido de la vigencia se han expedido 210 Conceptos técnicos de análisis de información en virtud del Articulo 321 de la Ley 1955. </t>
  </si>
  <si>
    <t xml:space="preserve">A corte 31 de marzo de 2020 se adelantaron 55 Oficios  de solictud  de información complementaria derivada del análisis de información en virtud del Articulo 321 de la Ley 1955 y 46 Resoluciones.  
En lo corrido de la vigencia se han expedido 305 Conceptos técnicos de análisis de información en virtud del Articulo 321 de la Ley 1955. </t>
  </si>
  <si>
    <t>Avance estrategia para la inversión del 1% y compensación en territorio</t>
  </si>
  <si>
    <t>Numero de áreas donde se desarrollen acciones de conservación, preservación y restauración con cargo al 1% y a la compensación ambiental/Total de áreas habilitadas por la estrategia para Compensación y 1%</t>
  </si>
  <si>
    <t>A corte 31 de enero de 2020 se ha avanzado en 370 hectareas donde se desarrollan acciones de conservación, preservación y restauración con cargo al 1% y a la compensación ambiental
El denominador del Indicador esta asociado al 10% de la Meta Transformacional de deforestación competencia ANLA que corresponde a 3150 Hectáreas</t>
  </si>
  <si>
    <t>A corte 29 de febrero de 2020 se ha avanzado en 436,58 hectareas donde se desarrollan acciones de conservación, preservación y restauración con cargo al 1% y a la compensación ambiental
El denominador del Indicador esta asociado al 10% de la Meta Transformacional de deforestación de competencia dfe la   ANLA que corresponde a 3150 Hectáreas</t>
  </si>
  <si>
    <t>A corte 31 de marzo de 2020 se ha avanzado en 537,58 hectareas donde se desarrollan acciones de conservación, preservación y restauración con cargo al 1% y a la compensación ambiental
El denominador del Indicador esta asociado al 10% de la Meta Transformacional de deforestación de competencia dfe la   ANLA que corresponde a 3150 Hectáreas</t>
  </si>
  <si>
    <t>Número de actos administrativos que acogen el seguimiento realizado a los expedientes priorizados de Inversión y 1% en licenciamiento ambiental</t>
  </si>
  <si>
    <t>Número de pronunciamientos sobre proyectos que tienen la obligación de compensación, recursos de reposición y sancionatorios</t>
  </si>
  <si>
    <t xml:space="preserve">Durante el mes de enero de 2020 se elaboraron 3 Conceptos técnicos de análisis de información en virtud  de las compensaciones Ambientales, sin embargo no se ha emitido ningun acto administrativo. </t>
  </si>
  <si>
    <t xml:space="preserve">A corte febrero de 2020 se elaboraron 6 Conceptos técnicos de análisis de información en virtud  de las compensaciones Ambientales, de los cuales se expidio 1 acto administrativo. </t>
  </si>
  <si>
    <t xml:space="preserve">A corte 31 de marzo de 2020 se elaboraron 11 Conceptos técnicos de análisis de información en virtud  de las compensaciones Ambientales, de los cuales se expidio 4 actos administrativos </t>
  </si>
  <si>
    <t>N.A</t>
  </si>
  <si>
    <t>Contingencias</t>
  </si>
  <si>
    <t>Número de seguimientos finalizados desde el componente de riesgos y contingencias</t>
  </si>
  <si>
    <t>Número de actos administrativos finalizados desde el componente de riesgos y Contingencias</t>
  </si>
  <si>
    <t>Número de Conceptos técnicos de seguimiento priorizados por los sectores finalizados desde el componente de riesgos y contingencias</t>
  </si>
  <si>
    <t>Número de Conceptos técnicos de seguimiento finalizados desde el componente de Riegos y Contingencias</t>
  </si>
  <si>
    <t>GLADYS PUERTO CASTRO [Líder]</t>
  </si>
  <si>
    <t>A corte 31 de enero de 2020, el indicador no registra avance, la contratacion del profesional revisor juridico y profesional tecnico  que apoyaran esta actividad, esta programada para el mes de marzo de 2020</t>
  </si>
  <si>
    <t>A corte 31 de enero de 2020, el indicador no registra avance, el grupo viene apoyando la finalizacion de los seguimientos pendientes de la vigencia 2019.</t>
  </si>
  <si>
    <t>A corte 29 de febrero de 2020, el indicador no registra avance, la contratacion del profesional revisor juridico y profesional tecnico  que apoyaran esta actividad, esta programada para el mes de marzo de 2020</t>
  </si>
  <si>
    <t>A corte 29 de febrero de 2020, se registran 17 CT finalizados que contienen el componente de Riegos y Contingencias, de los apoyos brindados a los sectores en el seguimiento a  proyectos priorizados en la vigencia.</t>
  </si>
  <si>
    <t>A corte 31 marzo de 2020, el indicador no registra avance, la contratacion del profesional revisor juridico que apoyaran esta actividad, se reprogramo para el mes de abril de 2020.</t>
  </si>
  <si>
    <t>A corte 31 de marzo de 2020, se registran 76 CT finalizados que contienen el componente de Riegos y Contingencias, de los apoyos brindados a los sectores en el seguimiento a  proyectos priorizados en la vigencia.</t>
  </si>
  <si>
    <t>Porcentaje de actos administrativos de evaluación finalizados desde el componente de Riesgos y Contingencias</t>
  </si>
  <si>
    <t>Numero de Actos administrativos de evaluación finalizados con el componente de Riesgos y Contingencias/ Número de solicitudes allegadas de evaluación que deben incluir el componente de Riesgos y Contingencias</t>
  </si>
  <si>
    <t>A corte 31 de enero de 2020, el grupo cuenta con 27 solicitudes de evaluación que debe incluir el componente de Riesgos y Contingencias, a la fecha de corte se han finalizado con AA 2.</t>
  </si>
  <si>
    <t>A corte 29 de febrero de 2020, el grupo ha revisado 18 CT que incluye el componente de Riesgos y Contingencias, de los cuales 11 se han acogido con AA.</t>
  </si>
  <si>
    <t>A corte  31 de marzo de 2020, el grupo ha revisado 23 CT que incluye el componente de Riesgos y Contingencias, de los cuales 16 se han acogido con AA.</t>
  </si>
  <si>
    <t>Seguimiento a expedientes de vigencias anteriores por contingencias recurrentes</t>
  </si>
  <si>
    <t># de actos administrativos que acogen el seguimiento realizado a los expedientes priorizados de contingencias</t>
  </si>
  <si>
    <t>A corte 31 de enero de 2020, el indicador no registra avance, se esta realizando la verificacion con los sectores, para que estos expedientes sean priorizados para su seguimiento.</t>
  </si>
  <si>
    <t>A corte 29 de febrero de 2020, el indicador no registra avance, se esta realizando la verificacion con los sectores, para que estos expedientes sean priorizados para su seguimiento.</t>
  </si>
  <si>
    <t>A corte 31 de marzo de 2020, el indicador no registra avance, se esta realizando la verificacion con los sectores, para que estos expedientes sean priorizados para su seguimiento. Dos expedientes LAM0332 y LAM4409 cuenta con CT pendiente por acoger.</t>
  </si>
  <si>
    <t>Gestionar el conocimiento y la innovación en los procesos de evaluación y seguimiento de las licencias, permisos y trámites ambientales con transparencia</t>
  </si>
  <si>
    <t>Geomática Operativa</t>
  </si>
  <si>
    <t>Documentos de revisión de información geográfica de proyectos de evaluación</t>
  </si>
  <si>
    <t># de documentos de revisión de información geográfica de proyectos de evaluación.</t>
  </si>
  <si>
    <t>A corte 31 de enero de 2020 el grupo de Geomatica ha revisado 23 documentos de información geográfica de los cuales:
*17 corresponden a VPD
* 6 de información adicional</t>
  </si>
  <si>
    <t>A corte 29 de febrero de 2020 el grupo de Geomatica ha revisado 43 documentos de información geográfica de los cuales:
*28 corresponden a VPD
* 15 de información adicional</t>
  </si>
  <si>
    <t>A corte 31 de marzo de 2020 el grupo de Geomatica ha revisado 55 documentos de información geográfica de los cuales:
*38 corresponden a VPD
* 17 de información adicional</t>
  </si>
  <si>
    <t>Documentos de revisión de información geográfica de proyectos de seguimiento</t>
  </si>
  <si>
    <t># de documentos de revisión de información geográfica de proyectos</t>
  </si>
  <si>
    <t>A corte 31 de enero de 2020 el grupo de Geomatica ha revisado 311 ICAs.  
En lo corrido de la vigencia se han allegado 285 ICAs y se tienen 914  rezagos de vigencias anteriores pendientes por revision.</t>
  </si>
  <si>
    <t>A corte 29 de febrero de 2020 el grupo de Geomatica ha revisado 752 ICAs.  
En lo corrido de la vigencia se han allegado 381 ICAs y se tienen 866  rezagos de vigencias anteriores pendientes por revision, para un total 1247.</t>
  </si>
  <si>
    <t xml:space="preserve">A corte  31 de marzo de 2020 el grupo de Geomatica ha revisado 1207 ICAs.  </t>
  </si>
  <si>
    <t>Proyectos licenciados con Indice de Desempeño Ambiental</t>
  </si>
  <si>
    <t>Número de proyectos en seguimiento con aplicación de la metodología del Indice de Desempeño Ambiental</t>
  </si>
  <si>
    <t>Indicador programado para medir a partir del segundo semestre del año 2020</t>
  </si>
  <si>
    <t>Documentos de Seguimiento Documental Espacial de proyectos en etapa de seguimiento</t>
  </si>
  <si>
    <t># de documentos de Seguimiento Documental Espacial de proyectos en etapa de seguimiento</t>
  </si>
  <si>
    <t>A corte 31 de enero de 2020 el grupo de Geomatica ha elaborado 23 documentos de Seguimiento Documental Espacial-SDE de proyectos en etapa de seguimiento</t>
  </si>
  <si>
    <t>A corte 29 de febrero de 2020 el grupo de Geomatica ha elaborado 70 documentos de Seguimiento Documental Espacial-SDE de proyectos en etapa de seguimiento</t>
  </si>
  <si>
    <t>A corte 31 de marzo de 2020 el grupo de Geomatica ha elaborado 109 documentos de Seguimiento Documental Espacial-SDE de proyectos en etapa de seguimiento</t>
  </si>
  <si>
    <t>Fortalecimiento organizacional y simplificación de procesos</t>
  </si>
  <si>
    <t>RASP</t>
  </si>
  <si>
    <t>Porcentaje de cambios menores y giros ordinarios resueltos oportunamente</t>
  </si>
  <si>
    <t>(Número de Cambios menores y giros ordinarios resueltos en términos /Total de Cambios menores y giros ordinarios con vencimiento de términos) * 100</t>
  </si>
  <si>
    <t>ANDREA ESTEBAN TORRES [Coordinador(a)]</t>
  </si>
  <si>
    <t>Durante el mes de Enero de 2020, se tuvieron 53 actividades con vencimiento de terminos, de las cuales 50 Cambios mejores y(o Giros Ordinarios se respondieron oportunamente. Esta gestión arroja una porcentaje de oportunidad del 94%.</t>
  </si>
  <si>
    <t>A corte febrero de 2020, se tuvieron 101 actividades con vencimiento de terminos, de las cuales 98 Cambios mejores y Giros Ordinarios se respondieron oportunamente. Esta gestión arroja una porcentaje de oportunidad del 97%.</t>
  </si>
  <si>
    <t>A corte 31 de marzo de 2020, se tuvieron 141 actividades con vencimiento de terminos, de las cuales 134 Cambios mejores y Giros Ordinarios se respondieron oportunamente. Esta gestión arroja una porcentaje de oportunidad del 97%.</t>
  </si>
  <si>
    <t>Porcentaje de cumplimiento de los términos para la verificación preliminar de los ICA</t>
  </si>
  <si>
    <t>(Número ICAS revisados oportunamente /número de ICAS recibidos con vencimiento de términos) * 100</t>
  </si>
  <si>
    <t>Durante el periodo se tuvieron un total de 182 actividades con vencimiento en el mes de Enero de 2020.  Del total de estas actividades, 115 actividades fueron finalizadas dentro de los términos establecidos</t>
  </si>
  <si>
    <t>A corte febrero de 2020, se tuvieron un total de 413 actividades con vencimiento, de las cuales 274 actividades fueron finalizadas dentro de los términos establecidos</t>
  </si>
  <si>
    <t>A corte marzo de 2020, se tuvieron un total de 613 actividades con vencimiento, de las cuales 449 actividades fueron finalizadas dentro de los términos establecidos</t>
  </si>
  <si>
    <t>Porcentaje de autos de inicio emitidos oportunamente</t>
  </si>
  <si>
    <t>(Número de Autos de inicio emitidos en términos / número de Autos emitidos con vencimiento de términos)*100</t>
  </si>
  <si>
    <t>A corte 31 de enero de 2020, debian emitirse 2  autos de inicio de las VPD ingresadas y aprobadas en el mes, los cuales fueron expedidos oportunamente. Por ser un indicador que se mide por primera vez en la entidad, para su calculo solo se toma informacion a partir de la vigencia 2020.</t>
  </si>
  <si>
    <t>A corte 29 de febrero de 2020 debian emitirse 17 autos de inicio de las VPD ingresadas y aprobadas en el periodo, de los cuales 7 fueron expedidos oportunamente.</t>
  </si>
  <si>
    <t>A corte 31 de marzo de 2020 debian emitirse 24 autos de inicio de las VPD ingresadas y aprobadas en el periodo, de los cuales 13 fueron expedidos oportunamente.</t>
  </si>
  <si>
    <t>Porcentaje de VPD con respuesta oportuna</t>
  </si>
  <si>
    <t>(Numero VPD finalizados en términos / número de VPD con vencimiento de términos)*100</t>
  </si>
  <si>
    <t>A corte 31 de enero de 2020, han ingresado a la entidad 14 VPD, de las cuales 6 tenian vencimiento de teriminos y fueron revisadas oprotunamente. Dando como resultado 2 VPD aprobadas. Por ser un indicador que se mide por primera vez en la entidad, para su calculo solo se toma informacion a partir de la vigencia 2020.</t>
  </si>
  <si>
    <t xml:space="preserve">A corte 29 de febrero de 2020, 44 VPD tenian vencimiento de teriminos de las cuales 33 fueron revisadas oprotunamente. </t>
  </si>
  <si>
    <t xml:space="preserve">A corte 31 de marzo de 2020, 57 VPD tenian vencimiento de teriminos de las cuales 47 fueron revisadas oprotunamente. </t>
  </si>
  <si>
    <t>Contribuir a la implementación de un modelo de gestión pública efectivo, orientado a resultados y a la satisfacción de sus grupos de interés</t>
  </si>
  <si>
    <t>Gestión documental</t>
  </si>
  <si>
    <t>Porcentaje de Derechos de petición a solicitudes prioritarias finalizados oportunamente</t>
  </si>
  <si>
    <t>(Numero de DPE finalizados en términos / Total DPE con vencimiento de terminos)*100</t>
  </si>
  <si>
    <t>Durante el mes de Enero de 2020, se finalizaron 68 derechos de petición dentro de los términos establecidos. De un total de 68 actividades con vencimiento en el mes. Esta gestión arroja una porcentaje de oportunidad del 97,7%.</t>
  </si>
  <si>
    <t>A corte febrero de 2020, se finalizaron 178 derechos de petición dentro de los términos establecidos. De un total de 178 actividades con vencimiento en el periodo. Esta gestión arroja una porcentaje de oportunidad del 100%.</t>
  </si>
  <si>
    <t>A corte marzo de 2020, se finalizaron 305 derechos de petición dentro de los términos establecidos. De un total de 308 actividades con vencimiento en el periodo. Esta gestión arroja una porcentaje de oportunidad del 99%.</t>
  </si>
  <si>
    <t>Porcentaje de Solicitudes prioritarias de entes de control (ECOS) finalizados oportunamente</t>
  </si>
  <si>
    <t>(Número de ECO finalizados en términos / número de ECO con vencimiento de términos)*100</t>
  </si>
  <si>
    <t>Durante el mes de Enero de 2020, se finalizaron 42 derechos de petición dentro de los términos establecidos de un total de 43 actividades con vencimiento en el  periodo evaluado. Esta gestión arroja una porcentaje de oportunidad del 100%.</t>
  </si>
  <si>
    <t>A corte febrero de 2020, se finalizaron 104 ECOS dentro de los términos establecidos de un total de 107 actividades con vencimiento en el  periodo evaluado. Esta gestión arroja una porcentaje de oportunidad del 97,2%.</t>
  </si>
  <si>
    <t>A corte marzo de 2020, se finalizaron 171 ECOS dentro de los términos establecidos de un total de 174 actividades con vencimiento en el  periodo evaluado. Esta gestión arroja una porcentaje de oportunidad del 98.3%.</t>
  </si>
  <si>
    <t>Valoración Económica</t>
  </si>
  <si>
    <t>Porcentaje de Conceptos técnicos de seguimiento finalizados que incluyen el componente de valoración económica en  licenciamiento ambiental</t>
  </si>
  <si>
    <t>(# de conceptos técnicos de seguimiento finalizados que incluyen el componente de valoración económica/Total de conceptos técnicos de seguimiento revisados por profesionales de valoración económica) * 100</t>
  </si>
  <si>
    <t>YOLANDA CASALLAS ABRIL [Líder]</t>
  </si>
  <si>
    <t>Durante el mes de enero fueron asignados un total de 23 expedientes para el seguimiento en valoración económica, de estos trámites fueron finalizados desde valoración económica dos expedientes</t>
  </si>
  <si>
    <t>A corte 29 de febrero de 2020 se han asignado un total de 56  expedientes para el seguimiento del componente de valoración económica, de los cuales 13 han sido revisados por el grupo y  10 de estos conceptos tecnicos finalizados y numerados desde los sectores.</t>
  </si>
  <si>
    <t>A corte 31 de marzo de 2020 se han asignado un total de 78 expedientes para el seguimiento del componente de valoración económica, de los cuales 47 han sido rfinalizados desde el grupo   de valoracion economica  y  35 de estos conceptos tecnicos han sido finalizados y numerados desde los sectores.</t>
  </si>
  <si>
    <t>Porcentaje de Conceptos técnicos de evaluación que incluyen el componente de valoración económica en la etapa de evaluación de licenciamiento ambiental</t>
  </si>
  <si>
    <t>(# de conceptos técnicos de evaluación finalizados que incluyen el componente de valoración económica/Total de conceptos técnicos de evaluación revisados por profesionales de valoración económica) * 100</t>
  </si>
  <si>
    <t>Durante el mes de enero fueron asignados un total de 30 expedientes para la evaluación de DAA, licencia Ambiental, Modificación de licencia en valoración económica , de estos trámites fueron finalizados desde valoración económica 5 expedientes.</t>
  </si>
  <si>
    <t>A corte 29 de febrero de 2020 se han asignado un total de 36  expedientes para la evaluacion del componente de valoración económica, de los cuales 12 han sido revisados por el grupo y  8 de estos conceptos tecnicos finalizados y numerados desde los sectores.</t>
  </si>
  <si>
    <t>A corte 31 de marzo de 2020 se han asignado un total de 37 expedientes para la evaluacion del componente de valoración económica (incluidas nuevas licencias, modificaciones de licencia, modificaciones de PMA, respuesta a recursos de reposicion y evaluacion de DAA) de los cuales 18 han sido revisados por el grupo y  14 de estos conceptos tecnicos han sido finalizados y numerados desde los sectores.</t>
  </si>
  <si>
    <t>Promedio de avance en metas de Producto SES</t>
  </si>
  <si>
    <t>Promedio de avance en metas de Gestión SES</t>
  </si>
  <si>
    <t>Direccionamiento Estratégico y Planeación</t>
  </si>
  <si>
    <t>Planeación Institucional</t>
  </si>
  <si>
    <t>Estratégico</t>
  </si>
  <si>
    <t>Orientación estratégica</t>
  </si>
  <si>
    <t>Planeación estratégica</t>
  </si>
  <si>
    <t>Oficina Asesora de Planeación</t>
  </si>
  <si>
    <t>Número de documentos de planeación realizados</t>
  </si>
  <si>
    <t># de documentos elaborados</t>
  </si>
  <si>
    <t>Porcentaje de avance en la elaboración de los planes de acción de las políticas del MIPG</t>
  </si>
  <si>
    <t xml:space="preserve">
∑= Suma de todas los planes de acción programados desde 1 hasta n (i); \nwi= peso porcentual para cada plan de acción; Xi= Valor del plan de acción</t>
  </si>
  <si>
    <t>Jefe Oficina Asesora de Planeación</t>
  </si>
  <si>
    <t>No se reporta avance para el mes de enero</t>
  </si>
  <si>
    <t>Durante el mes de febrero no se presentan avances para este indicador</t>
  </si>
  <si>
    <t>Se empezó con la planeación para la formulación, por esta razón a 29 de febrero no se cuenta con avance en la formulación de estos siete planes</t>
  </si>
  <si>
    <t>A 31 de marzo se cuenta con 9% de avance en la elaboración de los 11 documentos</t>
  </si>
  <si>
    <t>Al corte de marzo 31 no se ha presentado para aprobación ninguno de los planes priorizados para la vigencia 2020.</t>
  </si>
  <si>
    <t>Porcentaje de avance en la elaboración del Mapa de conocimiento explícito de la entidad</t>
  </si>
  <si>
    <t>No se cuenta con avance para el mes de febrero</t>
  </si>
  <si>
    <t>Se elaboró el plan de trabajo para la elaboración del mapa de conocimiento para la entidad.</t>
  </si>
  <si>
    <t>Porcentaje de avance en la elaboración de la estrategia de seguimiento</t>
  </si>
  <si>
    <t>Se establecieron componentes, ruta de trabajo para la estrategia y se socializo con las dependencias interesadas.</t>
  </si>
  <si>
    <t>6,5%</t>
  </si>
  <si>
    <t>18,5%</t>
  </si>
  <si>
    <t xml:space="preserve">Se estableció la regionalización de los proyectos, se dividió la subdirección de seguimiento por regiones (4 regiones y un sector económico - agroquímicos)
Se ajusto SILA, para la clasificación de los proyectos por región hidrográfica
Se establecieron criterios de definición de proyectos activos, por etapa y subastado.
La periodicidad de los seguimientos se estableció de acuerdo con lo establecido en las resoluciones de otorgamiento del instrumento de control ambiental. </t>
  </si>
  <si>
    <t>Porcentaje de avance en la elaboración de insumos para la misión de licenciamiento ambiental</t>
  </si>
  <si>
    <t>Se estableció el cronograma de trabajo y los hitos principales</t>
  </si>
  <si>
    <t>Porcentaje de avance en la elaboración de la estrategia de evaluación con énfasis en planeación sectorial</t>
  </si>
  <si>
    <t>Se estableció el cronograma de trabajo y los hitos principales
Se tiene propuesta de componentes de diagnostico para ser cuantificados en el mes de abril</t>
  </si>
  <si>
    <t>Porcentaje de ejecución del Plan de Acción Institucional</t>
  </si>
  <si>
    <t>Porcentaje de avance en la ejecución del Plan de Acción Institucional</t>
  </si>
  <si>
    <t>Porcentaje de avance en la elaboración del tablero de control para temas estratégicos</t>
  </si>
  <si>
    <t>A corte 29 de febrero se cuenta con el plan de trabajo para el tablero estratégico y la primera propuesta de indicadores</t>
  </si>
  <si>
    <t>27,9%</t>
  </si>
  <si>
    <t>Se presentó mapa conceptual del tablero de control, se identificaron los posibles indicadores de impacto, asimismo, se ha ido avanzando en la construcción de un indicador lucha contra la corrupción, y las variables macroeconómicas que servirán como insumo al tablero</t>
  </si>
  <si>
    <t>Herramientas para el seguimiento a metas institucionales</t>
  </si>
  <si>
    <t># herramientas diseñadas</t>
  </si>
  <si>
    <t>Porcentaje de implementación de la herramienta de control de términos en seguimiento de licencias ambientales</t>
  </si>
  <si>
    <t>A la fecha se cuenta con un 46% de avance en este indicador, el cual responde al promedio del avance de las tres herramientas programadas (evaluación licencias, seguimiento licencias y permisos y trámites)</t>
  </si>
  <si>
    <t>Se realizaron los siguientes cambios :
    1) Realizar Cambios de Inicio
    2) Realizar Cambios en Hitos Principales
    3) Actualizar Proyectos Activos
    4) Actualizar Filtros
    5) Actualizar Reportes
    6) Integración de OELA
    7) Actualizar Recursos de Reposición
   8) Se implementaron los numeros       telefonicos</t>
  </si>
  <si>
    <t>A 31 de marzo se cuenta con un 60% de avance en los desarrollos de las herramientas institucionales programadas para la vigencia</t>
  </si>
  <si>
    <t>Se realizaron los siguientes cambios :
    1) Realizar Cambios de Inicio
    2) Realizar Cambios en Hitos Principales
    3) Actualizar Proyectos Activos
    4) Actualizar Filtros
    5) Actualizar Reportes
    6) Integración de OELA
    7) Actualizar Recursos de Reposición
   8) Se implementaron los números telefónicos
   9) Elaborar módulo de SDE
   10 Elaborar módulo de VPI
   11) Realizar alertas
   12) Realizar mapeo de proyectos
   13) Realizar trazabilidad anual</t>
  </si>
  <si>
    <t>Porcentaje de implementación de la herramienta de control de términos para permisos y trámites</t>
  </si>
  <si>
    <t>Se realizaron los siguientes cambios :
    1) Entrega de usuarios para validación
    2) Elaborar Módulo VDI
    3) Elaborar Reporte Visitas
    4) Elaborar Reporte Conceptos
    4) Elaborar Reporte Actos</t>
  </si>
  <si>
    <t>Se realizaron los siguientes cambios :
    1) Entrega de usuarios para validación
    2) Elaborar Módulo VDI
    3) Elaborar Reporte Visitas
    4) Elaborar Reporte Conceptos
    4) Elaborar Reporte Actos
    5) Actualización de trámites</t>
  </si>
  <si>
    <t>Porcentaje de implementación de la herramienta de planeación institucional</t>
  </si>
  <si>
    <t>Se realizaron los siguientes cambios :
    1) Elaborar Módulo MIPG
    2) Elaborar Módulo PEI
    3) Elaborar Reporte PAA
    4) Elaborar Reporte PAI
    5) Culminar Módulo de CDP
    6) Módulo de Modificaciones Ver 1.0
    7) Avance en Módulo de Calidad</t>
  </si>
  <si>
    <t xml:space="preserve">	
Se realizaron los siguientes cambios :
    1) Elaborar Módulo MIPG
    2) Elaborar Módulo PEI
    3) Elaborar Reporte PAA
    4) Elaborar Reporte PAI
    5) Culminar Módulo de CDP
    6) Módulo de Modificaciones Ver 1.0
    7) Avance en Módulo de Calidad
    8) Importador SIIF
    9) Actualizar Reportes para ver el valor de los RP y saldos disponibles
10) Actualizar estructura</t>
  </si>
  <si>
    <t>Talento Humano</t>
  </si>
  <si>
    <t>Talleres o actividades de capacitación realizadas</t>
  </si>
  <si>
    <t># de actividades de capacitación/actualización a colaboradores realizadas</t>
  </si>
  <si>
    <t>Se realizó la capacitación de indicadores para las dependencias de la entidad</t>
  </si>
  <si>
    <t>Durante el mes de marzo no se realizó ninguna capacitación</t>
  </si>
  <si>
    <t>Porcentaje de avance en la actualización del mapa de procesos</t>
  </si>
  <si>
    <t>Se presenta un avance del 6% de plan de trabajo establecido para este indicador</t>
  </si>
  <si>
    <t>Gestión de recursos</t>
  </si>
  <si>
    <t>Porcentaje de avance en el ajuste de los proyectos de inversión de la entidad</t>
  </si>
  <si>
    <t>A corte 29 de febrero se cuenta con la propuesta del árbol de problemas</t>
  </si>
  <si>
    <t>De acuerdo al plan de trabajo establecido, este indicador presenta un avance del 55% para el mes de marzo</t>
  </si>
  <si>
    <t>PROMEDIO INDICADORES PRODUCTO</t>
  </si>
  <si>
    <t>PROMEDIO INDICADORES GESTIÓN</t>
  </si>
  <si>
    <t>Evaluación y resultados</t>
  </si>
  <si>
    <t>Gestión de permisos y trámites ambientales</t>
  </si>
  <si>
    <t>Subdirección de Instrumentos, Permisos y Trámites Ambientales</t>
  </si>
  <si>
    <t>Permisos y Trámites Ambientales</t>
  </si>
  <si>
    <t>Actos administrativos expedidos para resolver las solicitudes de evaluación de los permisos y trámites ambientales.</t>
  </si>
  <si>
    <t># de actos administrativos que resuelven solicitudes de permisos ambientales.</t>
  </si>
  <si>
    <t>Conceptos técnicos emitidos para resolver las solicitudes de evaluación a permisos y trámites ambientales.</t>
  </si>
  <si>
    <t># de conceptos técnicos realizados para resolver las solicitudes de evaluación de permisos ambientales.</t>
  </si>
  <si>
    <t>Subdirector de Instrumentos, Permisos y Trámites Ambientales</t>
  </si>
  <si>
    <t>Para la vigencia 2020 se estableció como meta la producción de 21.422 AA de evaluación; durante  enero se realizaron 1752 AA que lo corresponde a un avance del 8% frente a la meta.  VUCE participó con el 88.07% de esta producción, seguido de Beneficios Tributrarios con una participación de 4.74% y Prueba Dinámica con 4.22%</t>
  </si>
  <si>
    <t>El indicador de conceptos técnicos para resolver solicitudes de evaluación de permisos y trámites ambientales debe alcanzar 2700 CT gestionados durante 2020; en enero se logró gestionar 140 CT de evaluación, representando un avance en la meta del 5%. Durante este mes el equipo que mayor participación tuvo en la gestión de conceptos tecnicos fue Prueba Dinámica con una participación del 58% del total de la producción del mes, seguido de Diversidad Bilógica con el 20% y Beneficios tributarios con el 19%.</t>
  </si>
  <si>
    <t>Para la vigencia 2020 se estableció como meta la producción de 21.422 AA de evaluación; a corte del mes de febrero, se realizaron 3515 AA que lo corresponde a un avance del 16% frente a la meta.  VUCE participó con el 88.88% de esta producción, seguido de Prueba Dinámica con una participación de 4.75% y Beneficios Tributrarios  con 3.44%</t>
  </si>
  <si>
    <t>El indicador de conceptos técnicos para resolver solicitudes de evaluación de permisos y trámites ambientales debe alcanzar 2700 CT gestionados durante 2020; El avance de gestión para el mes de febrero es de 394 CT de evaluación, representando un avance en la meta del 15%. Durante este mes el equipo que mayor participación tuvo en la gestión de conceptos tecnicos fue Prueba Dinámica con una participación del 60 % del total de la producción del mes, seguido de Diversidad Bilógica con el 18 % y Beneficios tributarios con el 18%.</t>
  </si>
  <si>
    <t>Al 31 de marzo se gestionaron 5.007 AA para resolver solicitudes de evaluación de Permisos y Trámites ambientales. El sector que mayor participación tiene en este avance es VUCE,  88.5%, seguido de Prueba Dinámica con el 5.5% y Beneficios Tributarios con el 3.3%. Durante el primer trimestre del año se logró un avance del  23%, respecto a la meta de 21.422  AA  de evaluación de Permisos y trámites ambientales planteada  la vigencia 2020.</t>
  </si>
  <si>
    <t>El indicador de conceptos técnicos para resolver solicitudes de evaluación de permisos y trámites ambientales, al 31 de marzo alcanzó un avance total  del 24% respecto a la meta de 2.700 CT durante la vigencia 2020, es decir, 647 CT.  Prueba Dinámica es el sector que más ha aportado a este avance, 369 CT de Prueba Dinámica que representan el 57% del avance, seguido de Beneficios Tributarios con 21.6% y Diversidad Biológica con 18.3%.</t>
  </si>
  <si>
    <t>Visitas técnicas de evaluación</t>
  </si>
  <si>
    <t># de visitas de evaluación realizadas</t>
  </si>
  <si>
    <t>Corresponde a permisos fuera de licencia</t>
  </si>
  <si>
    <t>Se registran con corte  a 29 de febrero 6 visitas de evaluación en el área de Permisos Fuera de Licencia</t>
  </si>
  <si>
    <t>Se registran con corte  a 31 de marzo 8 visitas de evaluación. Se realizaron en el área de Permisos Fuera de Licencia</t>
  </si>
  <si>
    <t>Actos administrativos expedidos para resolver el seguimiento de los permisos y trámites ambientales.</t>
  </si>
  <si>
    <t># de actos administrativos que acogen el seguimiento realizado a permisos otorgados.</t>
  </si>
  <si>
    <t>Conceptos técnicos de seguimiento a permisos y trámites ambientales otorgados.</t>
  </si>
  <si>
    <t># de conceptos técnicos realizados para acoger el seguimiento realizado a los permisos otorgados.</t>
  </si>
  <si>
    <t>Durante 2020 de debe alcanzar una producción de 816 AA para resolver segumiento a permisos otorgados, en enero se realizaron 14 AA de segumiento, es decir, se tuvo un avance del 1.72% frente a la meta. Los grupos que participaron en este avance fueron Diversidad Biológica con el 93% y Permisos Fuera de Licencia con el 7%.</t>
  </si>
  <si>
    <t>El indicador de conceptos técnicos para seguimiento a permisos otorgados  debe alcanzar 816 CT gestionados durante 2020; en enero se logró gestionar 27 CT de seguimiento, esto representa un avance en la meta del 3.31%. Durante este mes el equipo que mayor participación tuvo en la gestión de conceptos tecnicos fue Diversidad Biológica con una participación del 94%,  seguido de Permisos fuera de Licencia con el 4%..</t>
  </si>
  <si>
    <t>Durante 2020 de debe alcanzar una producción de 816 AA para resolver segumiento a permisos otorgados, al finalizar el mes de febrero, se realizaron 42 AA de segumiento, es decir, se tuvo un avance del 4.90% frente a la meta. Los grupos que participaron en este avance fueron Diversidad Biológica con el 81% y Permisos Fuera de Licencia con el 8% y Psoconsumo con 7%.</t>
  </si>
  <si>
    <t>El indicador de conceptos técnicos para seguimiento a permisos otorgados  debe alcanzar 816 CT gestionados durante 2020; al corte del mes de febrero se logró gestionar 59 CT de seguimiento, esto representa un avance en la meta del 7.28%. Durante este mes el equipo que mayor participación tuvo en la gestión de conceptos tecnicos fue Diversidad Biológica con una participación del 71%,  seguido de Permisos fuera de Licencia con el 17% y Posconsumo con el 12%.</t>
  </si>
  <si>
    <t>La meta de Actos Administrativos  que acogen el seguimiento a permisos otorgados para la vigencia 2020 se proyectó en 816 AA,  durante el primer trimestre del año se alcanzó un avance del 11.40% respeto a la meta, es decir, que al 31 de marzo se gestionaron 93 AA de seguimiento a permisos.  La participación de los sectores en este avance se dio de la siguiente manera:  Diversidad Biológica 63%, Permisos Fuera de Licencia 19% y Posconsumo 17%.</t>
  </si>
  <si>
    <t>Durante la vigencia 2020 se proyecta realizar 816 CT de seguimiento a permisos otorgados, al 31 de marzo se realizaron 123 CT de seguimiento, de los cuales 73 son del sector Diversidad Biológica,  28 Permisos Fuera de Licencia y 22 Poscosumo, con este avance se llega al 15% de la meta.</t>
  </si>
  <si>
    <t>Visitas técnicas de seguimiento</t>
  </si>
  <si>
    <t># de visitas de seguimiento realizadas</t>
  </si>
  <si>
    <t>Permisos fuera de licencia y posconsumo https://anla-my.sharepoint.com/:x:/r/personal/aromero_anla_gov_co/_layouts/15/Doc.aspx?sourcedoc=%7B555CC33D-3207-48E2-920F-9D96B04A9EDD%7D&amp;file=BASE%20DE%20DATOS%20VISITAS%20PAI%202020.xlsx&amp;action=default&amp;mobileredirect=true</t>
  </si>
  <si>
    <t>A corte del mes de febrero se realizaron 24 visitas de seguimento, reflejado en un avance del 6.6%. 17 visitas realizadas por Posconsumo y 7 por Permisos fuera de Licencia C:\Users\lluna\ANLA - Autoridad Nacional de Licencias Ambientales\Angela Patricia Romero Rodriguez (ANLA) - PAI 2020\Permisos\Febrero</t>
  </si>
  <si>
    <t>A corte de 31de marzo se realizaron 83 visitas de seguimento, reflejado en un avance del 23.12 %. 73 visitas realizadas por Posconsumo y 10 por Permisos fuera de Licencia C:\Users\lluna\ANLA - Autoridad Nacional de Licencias Ambientales\Angela Patricia Romero Rodriguez (ANLA) - PAI 2020\Permisos\Febrero</t>
  </si>
  <si>
    <t>Promedio de la reducción porcentual de los contaminantes emitidos por la flota de vehículos livianos y motocicletas al implementar la normativa vigente (Resolución 910 del 2008, modificada por la Resolución 1111 del 2013, o Resolución 2604 del 2009</t>
  </si>
  <si>
    <t>x ̅=1/n ∑_i^n▒x_i  
Promedio de la reducción en porcentaje de los contaminantes emitidos por la flota de vehículos livianos y motocicletas al implementar la normativa vigente. n: Cantidad de contaminantes x_i: Reducción en porcentaje del contaminante i emitido por la flota de vehículos livianos y motocicletas al implementar la normativa vigente i: Monóxido de Carbono (CO), Hidrocarburos, Óxidos de Nitrógeno (NOx), Material Particulado (MP), Metano (CH4), Hidrocarburos diferentes del Metano (HCNM) x_i=(m_(i,anterior a normativa)-m_(i,con normativa))/m_(i,anterior a normativa) m_(i,anterior a normativa): Masa en g/kWh del contaminante i de la flota si ésta solamente cumpliera con los estándares de emisiones anteriores a la Resolución 910 del 2008 m_(i,con normativa): Masa en g/kWh del contaminante i de la flota con los datos de CEPD aprobados m_(i,anterior a normativa)=z∙l_i m_(i,con normativa)=∑_j^y▒〖m_(i,j) z_j 〗 z: Cantidad de vehículos importados en la vigencia l_i: Límite de emisiones para el contaminante i descrito en la normativa anterior a la actual j: CEPD y: Cantidad de CEPD utilizados en la vigencia m_(i,j): Masa en g/kWh del contaminante i que se encuentra en el CEPD j z_j: Cantidad de vehículos importados por CEPD j Normativa anterior: Resolución 1048 de 1999</t>
  </si>
  <si>
    <t>P.D</t>
  </si>
  <si>
    <t>Promedio de la reducción porcentual de los contaminantes emitidos por la flota de vehículos pesados al implementar la normativa vigente (Resolución 910 del 2008, modificada por la Resolución 1111 del 2013, o Resolución 2604 del 2009)</t>
  </si>
  <si>
    <t>x ̅=1/n ∑_i^n▒x_i x ̅
Promedio de la reducción en porcentaje de los contaminantes emitidos por la flota de vehículos pesados al implementar la normativa vigente. n: Cantidad de contaminantes x_i: Reducción en porcentaje del contaminante i emitido por la flota de vehículos pesados al implementar la normativa vigente i: Monóxido de Carbono (CO), Hidrocarburos, Óxidos de Nitrógeno (NOx), Material Particulado (MP), Metano (CH4), Hidrocarburos diferentes del Metano (HCNM) x_i=(m_(i,anterior a normativa)-m_(i,con normativa))/m_(i,anterior a normativa) m_(i,anterior a normativa): Masa en g/kWh del contaminante i de la flota si ésta solamente cumpliera con los estándares de emisiones anteriores a la Resolución 910 del 2008 m_(i,con normativa): Masa en g/kWh del contaminante i de la flota con los datos de CEPD aprobados m_(i,anterior a normativa)=z∙l_i m_(i,con normativa)=∑_j^y▒〖m_(i,j) z_j 〗 z: Cantidad de vehículos importados en la vigencia l_i: Límite de emisiones para el contaminante i descrito en la normativa anterior a la actual j: CEPD y: Cantidad de CEPD utilizados en la vigencia m_(i,j): Masa en g/kWh del contaminante i que se encuentra en el CEPD j z_j: Cantidad de vehículos importados por CEPD j Normativa anterior: Resolución 1048 de 1999</t>
  </si>
  <si>
    <t>Porcentaje de cumplimiento de la meta de gestión de llantas</t>
  </si>
  <si>
    <t>Sumatoria total de llantas validadas/ sumatoria total de llantas de meta de gestión</t>
  </si>
  <si>
    <t>Porcentaje de cumplimiento de la meta de gestión de Baterías Plomo Acido</t>
  </si>
  <si>
    <t>Sumatoria total de BUPAS validadas/ sumatoria total de BUPAS de meta de gestión</t>
  </si>
  <si>
    <t>Porcentaje de cumplimiento de la meta de gestión de Bombillas</t>
  </si>
  <si>
    <t>Sumatoria total de bombillas validadas/ sumatoria total de bombillas de meta de gestión</t>
  </si>
  <si>
    <t>Porcentaje de cumplimiento de la meta de gestión de pilas y/o acumuladores</t>
  </si>
  <si>
    <t>Sumatoria total de pilas y/o acumuladoras validadas/ sumatoria total de pilas y/o acumuladoras de meta de gestión</t>
  </si>
  <si>
    <t>Porcentaje de cumplimiento de la meta de gestión de computadores y/o perifericos validadas</t>
  </si>
  <si>
    <t>Sumatoria total de computadores y/o perifericos validadas/ sumatoria total de computadores y/o perifericos de meta de gestión</t>
  </si>
  <si>
    <t>Gestión con valores para el resultado</t>
  </si>
  <si>
    <t>Porcentaje de reprocesos por verificación de documentos inicial</t>
  </si>
  <si>
    <t>Número de devoluciones por verificación de documentos inicial /Número total de solicitudes</t>
  </si>
  <si>
    <t>En el mes de enero, las solicitudes de completitud de requisitos de inicio, reflejaron en un 8.1% de las 1992 solicitudes presentadas a corte de 31 de diciembre.</t>
  </si>
  <si>
    <t>Al corte del mes de febrero, las solicitudes de completitud de requisitos de inicio reflejaron un 7.3% de las 3902 solicitudes presentadas hasta 29 d efebrero de 2020</t>
  </si>
  <si>
    <t>Al 31 de marzo se realizaron 440 requerimientos de información información adicional sobre las 5.537 solicitudes recibidas,  esto representa un porcentaje de reproceso del 7.9%.</t>
  </si>
  <si>
    <t>Instrumentos y regionalización</t>
  </si>
  <si>
    <t>Porcentaje de gestión de Instrumentos técnicos de apoyo ambiental externo elaborados.</t>
  </si>
  <si>
    <t>Instrumentos De Gestión Y Control Optimizados.</t>
  </si>
  <si>
    <t>% de propuestas de instrumentos elaborados</t>
  </si>
  <si>
    <t>A 31 de enero se avanza en un 9% de los instrumentos de apoyo ambiental externo</t>
  </si>
  <si>
    <t>En el transcurso del mes de Enero se llevo a cabo el proceso de aseguramiento de los instrumentos de obligaciones mínimas Fase I,Desmantelamiento y Abandono de hidrocarburos y Periodicidad de ICAS(Expedientes: INS0012-00-2019, INS0018-002019, INS0014-00-2019).Con respecto al IDA hubo una priorización con el equipo detecnologías lo que permitió iniciar el proceso de análisis y diseño del tablero de control de este instrumento (Exp. INS-0013-00-2019)</t>
  </si>
  <si>
    <t>A 29 de febrero se avanza en un 14 % de los instrumentos de apoyo ambiental externo: D:\OneDrive - ANLA - Autoridad Nacional de Licencias Ambientales\NO MISIONAL\PAI 2020\Instrumentos</t>
  </si>
  <si>
    <t>A 31 de marzo se avanza en un 22 % de los instrumentos de apoyo ambiental externo: D:\OneDrive - ANLA - Autoridad Nacional de Licencias Ambientales\NO MISIONAL\PAI 2020\Instrumentos</t>
  </si>
  <si>
    <t xml:space="preserve">En el mes de Marzo, se registra un avance promedio de 42%,  se tuvo en cuenta la realización de reuniones de socialización con profesionales de la SES, con el fin de implementar herramientas necesarias para el entendimiento de los instrumentos que por este mes, cumplieron con el 100% en su fase de socialización como lo son: obligaciones mínimas, desmantelamiento y abandono en el sector hidrocarburos y Periodicidad ICA´S. Por tal motivo se da inicio a la implementación del mismo reportando el inicio de esta fase en un 46% para obligaciones mínimas un 100% para desmantelamiento y abandono (hidrocarburos), para el mes de abril se iniciarán estas actividades con periodicidad ICA´S. De otro modo se sigue trabajando con el desarrollo del instrumento Estandarización de fichas que a la fecha sigue en su etapa de desarrollo con un 37%, y el instrumento denominado cierre minería con un desarrollo del 38%. </t>
  </si>
  <si>
    <t>Solicitudes Atendidas</t>
  </si>
  <si>
    <t># de solicitudes de términos de referencia específicos atendidos</t>
  </si>
  <si>
    <t>A corte de 31 de enero se recibieron dos soicitudes que se encuentra en solicitud de conceptos previo al inicio de los hitos de desarrollo.</t>
  </si>
  <si>
    <t>Actualmente se adelanta información secundaria en relación con 3 solicitudes: 
1. Aprovechamiento de biosólidos en el predio Tequendama
2. Solicitud los términos de referencia para la elaboración de los estudios requeridos para la modificación del Plan de Manejo Ambiental, asociado al Expediente LAM-514, con el propósito de conocer los parámetros y condiciones para las actividades de mantenimiento requeridas en la central hidroeléctrica de Chivor
3. Solicitud de terminos de referencia para los tramites ambientales en las etapas de prefactibilidad, factibilidad y diseño con el fin de adelantar el estudio de una pequeña central hidroelectrica en el municipio de Nuqui, departamento del Chocó, que se traslapa con el Parque Nacional Natural Utria</t>
  </si>
  <si>
    <t>Racionalización de trámites</t>
  </si>
  <si>
    <t>Actos administrativos relacionados con la evaluación y/o modificación de Licencias Ambientales en áreas regionalizadas que incluyan condicionantes de análisis regional</t>
  </si>
  <si>
    <t>Número de actos administrativos relacionados con la evaluación de proyectos y/o modificación de Licencias Ambientales que incluyan condicionantes de análisis regional/Número de actos administrativos emitidos en áreas regionalizadas o relacionados con proyectos de alta complejidad</t>
  </si>
  <si>
    <t>Se registra un acto administrativo de otorgamiento emitido durante el mes de enero del proyecto Conconcreto (LAV0050-13), adicional a lo anterior, el equipo de evaluación y  seguimiento se encuentra apoyando la evaluación de 11 proyectos mas que se encuentran en el siguiente estado: 1.LAV033-00-2019 (Verderón) y 2. LAV0038-00-2109 (Bienparado). En revisión por parte de la coordinación de hidrocarburos. 3. LAM3816 (Campo Capella). En revisión por parte de líderes. 4. LAM0793 (PECIG). En espera de información adicional. 5. LAV0002-00-2020 (Cerromatoso), 6. LAV0041-13 (Pendare) y 7. LAM0761 (Reficar). En fase de campo. 8. LAV0012-00-2019. (Soto Norte). En elaboración de concepto. 9. LAV0052-00-2019 (Planeta Rica). En fase de preparación visita de campo. 10. LAV0001-00-2020. (Quebradona) y 11. LAV0004-00-2020 (Dragado de Cartagena). En fase de revisión de información radicada. De acuerdo a lo anterior se registran 12 solicitudes de apoyo en la evaluación, de las cuales 1 cuenta con acto administrativo.</t>
  </si>
  <si>
    <t>Se registra un acto administrativo de otorgamiento emitido durante el mes de enero del proyecto Conconcreto (LAV0050-13) Y y un acto administrativo de modificación de licencia en febrero del proyecto Campo Capella, adicional a lo anterior, el equipo de evaluación y  seguimiento se encuentra apoyando la evaluación de 11 proyectos mas que se encuentran en el siguiente estado: 1.LAV033-00-2019 (Verderón) y 2. LAV0038-00-2109 (Bienparado). Pendiente generación acto administrativo. 3. LAM0793 (PECIG) y 4. LAM0761 (Reficar). En espera de información adicional. 5. LAV0002-00-2020 (Cerromatoso),  6. LAV0052-00-2019 (Planeta Rica  y 7. LAV0004-00-2020 (Dragado de Cartagena) Preparando audiencia de información adicional. 8. LAV0041-13 (Pendare) 9. LAV0012-00-2019. (Soto Norte) y 10. LAV0017-00-2019 (La Virginia)  En elaboración de concepto.  11. LAV0001-00-2020. (Quebradona)En fase de preparación visita de campo. De acuerdo a lo anterior se registran 13 solicitudes de apoyo en la evaluación, de las cuales 2 cuentan con acto administrativo.</t>
  </si>
  <si>
    <t>Se registran dos actos administrativos de otorgamiento de los proyectos Conconcreto (LAV0050-13) y  Verderón (LAV033-00-2019), un acto administrativo de modificación de licencia del proyecto Campo Capella y un acto administrativo de archivo del proyecto Bienparado (LAV0038-00-2109), adicional a lo anterior, el equipo de evaluación y  seguimiento se encuentra apoyando la evaluación de 9 proyectos mas que se encuentran en el siguiente estado: 1. LAV0041-13 (Pendare). En revisión por parte de los jurídicos del sector. 2. LAM0793 (PECIG),3. LAM0761 (Reficar), 4. LAV0002-00-2020 (Cerromatoso) y 5. LAV0004-00-2020 (Dragado de Cartagena)  En espera de información adicional. 6. LAV0052-00-2019 (Planeta Rica) y 7. LAV0001-00-2020. (Quebradona) Preparando audiencia de información adicional. 8. LAV0012-00-2019. (Soto Norte) y 9. LAV0017-00-2019 (La Virginia)  En elaboración de concepto. De acuerdo a lo anterior se registran 13 solicitudes de apoyo en la evaluación, de las cuales 4 cuentan con acto administrativo.</t>
  </si>
  <si>
    <t>Conceptos técnicos de seguimiento de apoyo a la Subdirección de Evaluación y Seguimiento - SES</t>
  </si>
  <si>
    <t>Número de conceptos técnicos realizados / número de apoyos solicitados * 100</t>
  </si>
  <si>
    <t>Se registra solicitud de apoyo para cuatro conceptos de seguimiento (enero-abril) del LAM0209. Aeropuerto del Dorado. Durante la vigencia enero 2019, se elaboró el concepto correspondiente a Enero el cual se encuentra actualmente en revisión. Adicionalmente se realiza solicitud de apoyo para el concepto de seguimiento del expediente LAM1094 (Cerrejón) en el marco de la sentencia T-614. De acuerdo a lo anterior se reportan cinco solicitudes, de las cuales 1 se encuentra en elaboración para la vigencia enero/2020.</t>
  </si>
  <si>
    <t>Se registran dos conceptos técnicos generados para el mes de febrero de los proyectos LAM0209 (Aeropuerto el Dorado-Enero) y PEA0004 (La Francia); adicional a lo anterior, el equipo de evaluación y seguimiento se encuentra apoyando la elaboración de cuatro proyectos mas que se encuentran en el siguiente estado: 1. LAM0209. (Aeropuerto El Dorado - Febrero) 2. LAM1094 (Cerrejón) y 3. LAM2233 (Ituango) En elaboración de concepto.  4. LAM2249 (Lisama). En revisión por parte de líderes. De acuerdo a lo anterior se registran 6 solicitudes de apoyo en el seguimiento, de las cuales 2 cuentan con concepto técnico</t>
  </si>
  <si>
    <t>Se registran cuatro conceptos técnicos generados a la fecha de los proyectos LAM0209 (Aeropuerto el Dorado-Enero), PEA0004 (La Francia) y  LAM2249 (Lisama); adicional a lo anterior, el equipo de evaluación y seguimiento se encuentra apoyando la elaboración de dos proyectos mas que se encuentran en el siguiente estado: 1. LAM1094 (Cerrejón) y  2. LAM2233 (Ituango) En revisión por parte de líderes. De acuerdo a lo anterior se registran 6 solicitudes de apoyo en el seguimiento, de las cuales 4 cuentan con concepto técnico</t>
  </si>
  <si>
    <t>Documentos técnicos de modelación regional de medios biótico, abiótico y social elaborados</t>
  </si>
  <si>
    <t># de documentos técnicos de modelación regional elaborados</t>
  </si>
  <si>
    <t>Espacios de Divulgación de Resultados.</t>
  </si>
  <si>
    <t>% de socializaciones y/o divulgaciones de las Estrategias de redes de monitoreo para las Regiónes priorizadas</t>
  </si>
  <si>
    <t>Para la vigencia de 2020 se tiene programada la elaboración de tres reportes de análisis regional los cuales cuentan seis fases. 
Reporte SZH Río Bogota (primer reporte)
1. Definición del área de estudio: se realizó reunión técnicas para delimitar y definir el área de estudio de este reporte (17-01-2020) y se generaro el shape del área, lo que corresponde al 2% de la actividad.
2. Gestión documental de expedientes: se generó la identificación de expedientes  del área de estudio en AGIL/SLLA, se generó la selección y distribución de los anexos de archivo, y se esta realizando la solicitud y descarga de los mismos. En total se identificaron 1410 radicados a descargar de 68 expedientes. De igual manera se generó la descarga en SILA de resolución y conceptos para el diligenciamiento de la matriz preliminar de permisos. Esto corresponde a un avance del  5,8% de la actividad.
Se lleva un avance del 7,8% del reporte.</t>
  </si>
  <si>
    <t xml:space="preserve">Para la vigencia enero 2020 no se reporta ninguna socialización realizada. </t>
  </si>
  <si>
    <t>Para la vigencia de 2020 se tiene programada la elaboración de tres reportes de análisis regional:
Reporte SZH Río Bogota (primer reporte)
1. Definición del área de estudio: se realizó reunión técnicas para delimitar y definir el área de estudio de este reporte (17-01-2020) y se generaro el shape del área, lo que corresponde al 2% de la actividad.
2. Gestión documental de expedientes: se generó la identificación de expedientes  del área de estudio en AGIL/SILA, la selección y distribución de los anexos de archivo, y se realizó la solicitud y descarga de los mismos. En total se descargó la información de 1410 radicados de 68 expedientes; de igual manera se generó la descarga en SILA de resolución y conceptos para el diligenciamiento de la matriz preliminar de permisos. Con la depuración de la información se estableció que el universo son 64 expedientes a sistematizar.  Esto corresponde al 8% de la actividad.
3.Gestión información secundaria y articulación: se realizó la revisión de la información disponible en la página web de la CAR, SDA, y otras entidades y se proyecto oficio de solitud de información y de una reunión con la CAR para presentar el instrumento y darle alcance a la información solicitada. Se encuentra pendiente la confirmación del CAR del espacio de reunión, esto corresponde a un  3,5% de avance.
4. Sistematización de expedientes: se inicio la sistematización de la información de cada uno de los componentes (flora, fauna, recurso hídrico superficial, recurso hídrico subtéraneo, aire, ruido y socioeconómico) en la base de datos del modelo de almacenamiento de regionalización. De esta actividad se lleva un 7,5% de avance.
Para este reporte se tiene un avance del 21%.</t>
  </si>
  <si>
    <t>Las socializaciones de estrategias de monitoreo se encuentran programadas para el segundo semestre de 2020</t>
  </si>
  <si>
    <t>Para la vigencia de 2020 se tiene programada la elaboración de tres reportes de análisis regional:
Reporte SZH Río Bogota (primer reporte)
1. Definición del área de estudio: se realizó reunión técnicas para delimitar y definir el área de estudio de este reporte (17-01-2020) y se generaro el shape del área, lo que corresponde al 2% de la actividad.
2. Gestión documental de expedientes: se generó la identificación de expedientes  del área de estudio en AGIL/SILA, la selección y distribución de los anexos de archivo, y se realizó la solicitud y descarga de los mismos. En total se descargó la información de 1410 radicados de 68 expedientes; de igual manera se generó la descarga en SILA de resolución y conceptos para el diligenciamiento de la matriz preliminar de permisos. Con la depuración de la información se estableció que el universo son 64 expedientes a sistematizar.  Esto corresponde al 8% de la actividad.
3.Gestión información secundaria y articulación: se realizó la revisión de la información disponible en la página web de la CAR, SDA, y otras entidades y se proyecto oficio de solitud de información y de una reunión con la CAR para presentar el instrumento y darle alcance a la información solicitada. Se encuentra pendiente la confirmación del CAR del espacio de reunión, esto corresponde a un  4% de avance.
4. Sistematización de expedientes: se finalizó la sistematización de la información de cada uno de los componentes (flora, fauna, recurso hídrico superficial, recurso hídrico subtéraneo, aire, ruido y socioeconómico) en la base de datos del modelo de almacenamiento de regionalización. Queda pendiente incorporar la información de las CARs. Esto corresponde a un  25% de avance.
5. Elaboración de documento por componente: Se inicio la estructuración de los documentos de cada uno de los componentes (flora, fauna, recurso hídrico superficial, recurso hídrico subtéraneo, aire, ruido y socioeconómico). Esto corresponde a un 15% de avance. Se tiene programado reunion de integralidad el 6 de abril.
Para este reporte se tiene un avance del 53,6%.</t>
  </si>
  <si>
    <t>Información y Comunicación</t>
  </si>
  <si>
    <t>Transparencia, acceso a la información pública y lucha contra la corrupción</t>
  </si>
  <si>
    <t>Nodo Regional De Información Operando.</t>
  </si>
  <si>
    <t># de reportes de alertas regionales elaborados</t>
  </si>
  <si>
    <t>Documentos de soporte elaborado.</t>
  </si>
  <si>
    <t># de propuestas de Documento de las Estrategias de redes de monitoreo para las Regiones priorizadas.</t>
  </si>
  <si>
    <t>Para la vigencia 2020 se tiene programado obtener productos finales en al menos tres de las estrategias del monitoreo del instrumento para las fases de: Generación de información: Estrategia hídrica superficial cuenca del río Tillavá (en espera de información deriviada de la imposición de obligación para su respectivo análisis). Imposición de actos administrativos para las estrategias de Alto San Jorge, cuenca del río Cusiana y Tillavá hídrica subterráneo (en fase de gestión para la primera y revisión final para la segunda y tercera). Elaboración actos administrativos para las estrategias de Guajira y Antioquia (se cuenta con propuesta de red, pendiente socializar con actores internos y externos e iniciar con la elaboración de conceptos técnicos). Formulación de red para las estrategias de Putumayo, Meta y Buenaventura (no se han iniciado actividades, se proyecta iniciar durante el segundo semestre de 2020). De acuerdo a lo anterior durante la vigencia enero 2020 se avanzó en la gestión y ajuste final de concecptos para la fase de imposición de actos adminsitrativos para las estrategias Cusiana y Tillavá hídrico subterráneo, se espera contar con conceptos finalizados durante el mes de febrero de 2020.</t>
  </si>
  <si>
    <t>ESTRATEGIAS FASE DE IMPOSICIÓN OBLIGACIONES. Estrategia hídrica subterránea cuenca del río Tillavá. 50% Cuatro conceptos. LAM4795. (Concepto técnico 31-12-20), LAM5995 (Concepto técnico 28-02-20), LAM5281 (Concepto en revisión/verificación), LAV0084 (En espera de comentarios por parte de SES). Estrategia Hídrica Superficial y atmosférica Alto San Jorge. 25%. Cuatro conceptos. LAV0051-00-2017 (Sator-Mina BIjao). Se enviaron requerimientos de monitoreo hídricos superficiales y atmosféricos a ser vinculados en el concepto de evaluación de la modificación. LAM4656 (Gecelca). Se enviaron requerimientos  de monitoreo hídricos superficiales y atmosféricos a ser vinculados en el concepto técnico de seguimiento. LAV0045-00-2016 (Termobijao-Sator). En espera de inicio fase de construcción para imposición de obligación. LAV0002-00-2020. (Cerromatoso. Se vincularan requerimientos hídricos superficiales y atmosféricos en el concepto de evaluación de licencia ambiental). Estrategia Hídrica Superficial Cuenca del Río Cusiana. 25%. 7 conceptos. LAV0029-00-2017 (Rumba-Enviado  a SES para comentarios). LAV0061-13 (Chitamena Sur - Enviado  a SES para comentarios), LAM6045 (Casimena- Enviado  a SES para comentarios), LAM0425 (Campo Santiago - En ajuste final concepto), LAM2160 (Entreríos- Enviado  a SES para comentarios), LAM0524 (CPF Cusiana-En ajuste final concepto), LAM0668 (Campo Cupiagua- En elaboración). ESTRATEGIAS FASE DE ELABORACIÓN DE CONCEPTOS: Estrategia componente atmósfera Guajira. 12% 4 Conceptos. LAM1179 (Termoguajira - Priorizado segundo semestre de 2020), LAM2619 (Puerto Brisa - Seguimiento Abril), LAM1094 (Cerrejón - En elaboración de concepto) LAM3491 (Caipa- Pdte definir alcance sector)</t>
  </si>
  <si>
    <t xml:space="preserve">ESTRATEGIAS FASE DE IMPOSICIÓN OBLIGACIONES. Estrategia hídrica subterránea cuenca del río Tillavá. 75% Cuatro conceptos. LAM4795. (Concepto técnico 31-12-20), LAM5995 (Concepto técnico 28-02-20), LAM5281 (Concepto técnico 3-03-20), LAV0084 (En espera de comentarios por parte de SES). Estrategia Hídrica Superficial y atmosférica Alto San Jorge. 50%. Cuatro conceptos. LAV0051-00-2017 (concepto técnico 16-03-20). LAM4656 (concepto técnico 31-03-20). LAV0045-00-2016 (Termobijao-Sator). En espera de inicio fase de construcción para imposición de obligación. LAV0002-00-2020. (Cerromatoso. Se vincularan requerimientos hídricos superficiales y atmosféricos en el concepto de evaluación de licencia ambiental). Estrategia Hídrica Superficial Cuenca del Río Cusiana. 25%. 7 conceptos. LAV0029-00-2017 (Rumba-Enviado  a SES para comentarios). LAV0061-13 (Chitamena Sur - Enviado  a SES para comentarios), LAM6045 (Casimena- Enviado  a SES para comentarios), LAM0425 (Campo Santiago - En ajuste final concepto), LAM2160 (Entreríos- Enviado  a SES para comentarios), LAM0524 (CPF Cusiana-En ajuste final concepto), LAM0668 (Campo Cupiagua- En elaboración). ESTRATEGIAS FASE DE ELABORACIÓN DE CONCEPTOS: Estrategia componente atmósfera Guajira. 12% 4 Conceptos. LAM1179 (Termoguajira - Priorizado segundo semestre de 2020), LAM2619 (Puerto Brisa - Seguimiento Abril), LAM1094 (Cerrejón - concepto en revisión), LAM3491 (Caypa- en fase de revisión). </t>
  </si>
  <si>
    <t>REPORTE AVANCE MENSUAL</t>
  </si>
  <si>
    <t>Avance indicador de producto enero</t>
  </si>
  <si>
    <t>Avance indicador de gestión enero</t>
  </si>
  <si>
    <t>Avance indicador de producto febrero</t>
  </si>
  <si>
    <t>Avance indicador de gestión febrero</t>
  </si>
  <si>
    <t>Avance indicador de producto marzo</t>
  </si>
  <si>
    <t>Avance indicador de gestión marzo</t>
  </si>
  <si>
    <t>Incrementar la credibilidad en la entidad por parte de sus grupos de interés</t>
  </si>
  <si>
    <t>Gestión de tecnologías comunicaciones y seguridad de la información</t>
  </si>
  <si>
    <t>Comunicaciones estratégicas</t>
  </si>
  <si>
    <t>Comunicaciones</t>
  </si>
  <si>
    <t>Productos comunicacionales elaborados</t>
  </si>
  <si>
    <t>Canales de comunicación en servicio</t>
  </si>
  <si>
    <t>No. Canales gestionados en servicio</t>
  </si>
  <si>
    <t>ANDREA LUCIA ARANGO HERNANDEZ [Jefe de Comunicaciones]</t>
  </si>
  <si>
    <t>En el mes de enero se implementó la campaña de comunicaciones logros ANLA, la cual fue socializada a través de canales como el correo electrónico, ronda e Intranet. Igualmente, fueron apoyadas las solicitudes internas remitidas por la Oficina de Tecnología, Talento Humano., entre otros. Igualmente, las actividades del Equipo de Comunicaciones se centraron en la planeación, la generación de contenidos internos principalmente, con el fin socializar los logros de la entidad. Por lo anterior, se presentó una baja producción de gestión con medios de comunicación y generación de contenidos en redes sociales.</t>
  </si>
  <si>
    <t>En el mes de enero, los canales de comunicación que se emplearon fueron: el correo electrónico, la ronda semanal, la Intranet, El Director nos cuenta, Facebook, Twitter, LinkedIn y la página web.</t>
  </si>
  <si>
    <t>En el mes de febrero se generaron contenidos internos y externos relacionados con los logros de la ANLA en 2019 como contar con sus procesos de seguimiento y control ambiental al 100%, y el diseño de herramientas de control que le permitieron a la entidad comprender lo que pasaba en los territorios.</t>
  </si>
  <si>
    <t>En el mes de febrero, los canales de comunicación que se emplearon fueron: el correo electrónico, la ronda semanal, la Intranet, El Director nos cuenta, la cartelera, el fondo de escritorio, Facebook, Twitter, LinkedIn, YouTube y la página web.</t>
  </si>
  <si>
    <t>En el mes de marzo se generaron contenidos internos y externos relacionados con las medidas adoptadas por la entidad frente al COVID-19 y la reestructuración, entre otros. A su vez,en materia de comunicaciones internas se generaron diferentes comunicaciones y piezas gráficas sobre el trabajo en casa.</t>
  </si>
  <si>
    <t>En el mes de marzo, los canales de comunicación que se emplearon fueron: el correo electrónico, la ronda semanal, la Intranet, El Director nos cuenta, la cartelera, el fondo de escritorio, Facebook, Twitter, LinkedIn, YouTube, la página web y correos externos a periodistas de medios de comunicación.</t>
  </si>
  <si>
    <t>Contenidos publicados en canales de comunicación interno en servicio</t>
  </si>
  <si>
    <t>No. De contenidos publicados en canales de comunicación internos</t>
  </si>
  <si>
    <t>En el mes de enero se implementó la campaña de comunicaciones logros ANLA, la cual fue socializada a través de canales como el correo electrónico, ronda e Intranet. Igualmente, fueron apoyadas las solicitudes internas remitidas por la Oficina de Tecnología, Talento Humano., entre otros.</t>
  </si>
  <si>
    <t>En este mes, se generaron contenidos relacionados con las campañas internas de logros ANLA, la aplicación ANLA y la nueva sede. A su vez, se replicaron contenidos solicitados por la Subdirección Administrativa y Financiera y sus subgrupos (Talento humano, Tecnología, Administrativa, salud y seguridad en el trabajo, entre otros).</t>
  </si>
  <si>
    <t xml:space="preserve">En este mes, se generaron contenidos relacionados con las campañas internas de  reestructuración,coronavirus y trabajo desde casa,  A su vez, se replicaron contenidos solicitados por la Subdirección Administrativa y Financiera y sus subgrupos (Talento humano, Tecnología y Financiera, entre otros). </t>
  </si>
  <si>
    <t>Contenidos publicados en canales de comunicación externo en servicio</t>
  </si>
  <si>
    <t>No. De contenidos publicados realizadas en canales de comunicación externos</t>
  </si>
  <si>
    <t>En este mes, las actividades del Equipo de Comunicaciones se centraron en la planeación, la generación de contenidos internos principalmente, con el fin socializar los logros de la entidad. Por lo anterior, se presentó una baja producción de gestión con medios de comunicación y generación de contenidos en redes sociales. Igualmente, el community manager se integró al equipo el 21 de enero.</t>
  </si>
  <si>
    <t xml:space="preserve">En este mes, se generaron contenidos para redes sociales y página web relacionados con los logros de la entidad en 2019, el seguimiento al Plan Piloto del Aeropuerto El Dorado y Sembrar nos Une, entre otros. </t>
  </si>
  <si>
    <t xml:space="preserve">En este mes, se generaron contenidos para redes sociales y página web relacionados con el coronavirus, la reestructuración de la entidad y el seguimiento al Plan Piloto del Aeropuerto El Dorado, entre otros. </t>
  </si>
  <si>
    <t>Espacio principal de rendición de cuentas realizada</t>
  </si>
  <si>
    <t>No. De rendiciones de cuentas realizadas</t>
  </si>
  <si>
    <t>Si bien el espacio de la rendición de cuentas no está previsto para este período,  cabe destacar que se realizaron actividades relacionadas con el tema como la publicación del Informe de Gestión en la página web de la entidad, la socialización del mismo a través de la ronda.</t>
  </si>
  <si>
    <t>Si bien el espacio de la rendición de cuentas no está previsto para este período, se adelantaron reuniones preparatorias de la rendición de cuentas y los espacios con los grupos de interés. Así mismo, cabe destacar que se realizaron actividades relacionadas con el tema como la publicación del comunicado de prensa, la columna de opinión del director de la ANLA (que fue publicada en la edición online e impresa de Portafolio y la Infografía de logros de la ANLA.</t>
  </si>
  <si>
    <t>En este mes, las gestiones de comunicaciones estuvieron enfocadas en informar sobre las medidades adoptadas por la entidad frente al COVID-19,la reestructuración y el trabajo desde casa,entre otros.</t>
  </si>
  <si>
    <t>Posicionamiento de la ANLA a nivel externo</t>
  </si>
  <si>
    <t>Noticias con valoración positiva de la ANLA / Total de noticias en las que ANLA aparece</t>
  </si>
  <si>
    <t>Gestión de información de la ANLA para medios de comunicación</t>
  </si>
  <si>
    <t>No. De solicitudes de los medios de comunicación gestionadas</t>
  </si>
  <si>
    <t xml:space="preserve">En el mes de enero, la gestión de Comunicaciones estuvo centrada en labores de planeación, así como en la generación de contenidos relacionados con la campaña de comunicación interna de logros ANLA. Los avances en la gestión con medios de comunicación se reflejarán más en el reporte correspondiente al mes de febrero reportarán avances  la gestión con medios de comunicación se reportarán avances en el mes de febrero </t>
  </si>
  <si>
    <t xml:space="preserve">En el mes de enero, la gestión de Comunicaciones estuvo centrada en labores de planeación. Igualmente, se realizaron acercamientos con peridistas de Semana, El Tiempo, El Espectador, La República, Colombiano, Portafolio, EL Heraldo, La FM, RCN Radio, Valor Analitik y Radio Nacional, medios de comunicación que registraron la sanción a Ecopetrol por Lisama. En este mes los esfuerzos se concentraron también en la generación de contenidos relacionados con la campaña de comunicación interna de logros ANLA. A su vez, los avances en la gestión con medios de comunicación se reflejarán más en el reporte correspondiente al mes de febrero. </t>
  </si>
  <si>
    <t>En el mes de febrero, se generaron comunicados de prensa relacionados con los logros de la ANLA en 2019, la  aprobación de la licencia ambiental al proyecto de energía eólica en La Guajira y con los trámites de licenciamiento ambiental que impliquen intervención de especies en veda, entre otros . De estas noticias la más registrada por los medios de comunicación nacionales y regionales fue la relacionada con la aprobación del proyecto eólico en la Guajira con aproximadamente 25 noticias.</t>
  </si>
  <si>
    <t xml:space="preserve">En el mes de marzo se generaron comunicados de prensa relacionados  la reestructuración de la entidad , las medidas de prevención y contención del coronavirus adoptadas por la entidad, la racionalización de trámites y  la aclaración en el sentido de que la  ANLA no emitió pronunciamiento facultando a EPM para avanzar con las obras que permitan la generación de energía de Hidroituango, entre otros. </t>
  </si>
  <si>
    <t xml:space="preserve">En el mes de marzo se generaron comunicados de prensa relacionados  la reestructuración de la entidad , las medidas de prevención y contención delcoronavirus adoptadas por la entidad, la racionalización de trámites y  la aclaración en el sentido de que la  ANLA no emitió pronunciamiento facultando a EPM para avanzar con las obras que permitan la generación de energía de Hidroituango, entre otros. </t>
  </si>
  <si>
    <t>Efectividad de la comunicación interna</t>
  </si>
  <si>
    <t>Videos de apropiación publicados/campañas priorizadas\n</t>
  </si>
  <si>
    <t>Campañas priorizadas</t>
  </si>
  <si>
    <t>Número de campañas priorizadas publicadas</t>
  </si>
  <si>
    <t>En el mes de enero se produjeron 4 videos en los que se destacaron los logros de la Subdirección Administrativa y Financiera, la Subdirección de Evaluación y Seguimiento, la Subdirección de Instrumentos, Permisos y Trámites, la Oficina Jurídica, los cuales hacen parte de la campaña interna de logros ANLA.</t>
  </si>
  <si>
    <t>En el mes de enero se implementó la campaña de logros de la ANLA, la cual se ha socializado a través de correo electrónico, Intranet, El Director nos Cuenta y el boletín semanal de la ronda.</t>
  </si>
  <si>
    <t>En el mes de febrero se publicó en la Intranet, se envío por correo masivo y se socializaron a través del boletín electrónico de la ronda los logros de la Oficina Asesora de Planeación, con el fin de dar continuidad a la campaña de logros implementada en enero. Igualmente, se grabó y publicó un video en la Intranet relacionado con el aporte de la ANLA a la iniciativa liderada por el MInisterio de Ambiente y Desarrollo Sostenible de "Sembrar nos Une".</t>
  </si>
  <si>
    <t>En el mes de febrero, las campañas internas implementadas fueron logros ANLA, la aplicación ANLA y la nueva sede.</t>
  </si>
  <si>
    <t xml:space="preserve">En el mes de marzo se publicaron en la Intranet y se socializaron por correos 8 videos relacionados con la campaña de  reestructuración de la entidad. </t>
  </si>
  <si>
    <t>En el mes de marzo, las campañas internas implementadas fueron: reestructuración, coronavirus y trabajo desde casa.</t>
  </si>
  <si>
    <t>Control Interno</t>
  </si>
  <si>
    <t>Control a la Gestión</t>
  </si>
  <si>
    <t>N/A</t>
  </si>
  <si>
    <t>Nivel de efectividad de las acciones de mejoramiento definidas por la entidad</t>
  </si>
  <si>
    <t>Número de acciones efectivas (PM interno + PM CGR) / Total de acciones evaluadas (PM interno + PM CGR)</t>
  </si>
  <si>
    <t>Efectividad de las acciones del plan de mejoramiento interno</t>
  </si>
  <si>
    <t>No. Total de acciones con concepto positivo /No. Total de acciones evaluadas del plan de mejoramineto interno</t>
  </si>
  <si>
    <t>Jefe de Oficina Control Interno o quien haga sus veces</t>
  </si>
  <si>
    <t>Evaluadas en total 178 de las cuales se cerraron 161</t>
  </si>
  <si>
    <r>
      <rPr>
        <b/>
        <sz val="11"/>
        <color theme="1"/>
        <rFont val="Calibri"/>
        <family val="2"/>
        <scheme val="minor"/>
      </rPr>
      <t>Febrero</t>
    </r>
    <r>
      <rPr>
        <sz val="11"/>
        <color theme="1"/>
        <rFont val="Calibri"/>
        <family val="2"/>
        <scheme val="minor"/>
      </rPr>
      <t xml:space="preserve">: Se realizó la evaluación de 32 acciones de las cuales se cerraron 26, es decir el 81,2%.
</t>
    </r>
    <r>
      <rPr>
        <b/>
        <sz val="11"/>
        <color theme="1"/>
        <rFont val="Calibri"/>
        <family val="2"/>
        <scheme val="minor"/>
      </rPr>
      <t>Marzo:</t>
    </r>
    <r>
      <rPr>
        <sz val="11"/>
        <color theme="1"/>
        <rFont val="Calibri"/>
        <family val="2"/>
        <scheme val="minor"/>
      </rPr>
      <t xml:space="preserve"> Se realizó la evaluación de 28 acciones de las cuales se cerraron 27, es decir el 96%.
El porcentaje acumulado se calcula sumando la totalidad de acciones evaluadas en la vigencia (60 acciones) sobre las cerradas (53 acciones); esto arroja un avance acumulado de 88%</t>
    </r>
  </si>
  <si>
    <t>Cumplimiento de las acciones formuladas en el Plan de Mejoramiento suscrito con la CGR (50%)</t>
  </si>
  <si>
    <t>No. Total de acciones cerradas /No. Total de acciones evaluadas del plan de mejoramiento CGR.</t>
  </si>
  <si>
    <r>
      <rPr>
        <b/>
        <sz val="11"/>
        <color theme="1"/>
        <rFont val="Calibri"/>
        <family val="2"/>
        <scheme val="minor"/>
      </rPr>
      <t xml:space="preserve">Enero: </t>
    </r>
    <r>
      <rPr>
        <sz val="11"/>
        <color theme="1"/>
        <rFont val="Calibri"/>
        <family val="2"/>
        <scheme val="minor"/>
      </rPr>
      <t xml:space="preserve">Se evaluaron 56 acciones de las cuales se cerraron 50, es decir el 89,2%
</t>
    </r>
    <r>
      <rPr>
        <b/>
        <sz val="11"/>
        <color theme="1"/>
        <rFont val="Calibri"/>
        <family val="2"/>
        <scheme val="minor"/>
      </rPr>
      <t>Febrero:</t>
    </r>
    <r>
      <rPr>
        <sz val="11"/>
        <color theme="1"/>
        <rFont val="Calibri"/>
        <family val="2"/>
        <scheme val="minor"/>
      </rPr>
      <t xml:space="preserve"> Se evaluaron en el mes 26 acciones de las cuales se cerraron 22, es decir el 84,6%. 
</t>
    </r>
    <r>
      <rPr>
        <b/>
        <sz val="11"/>
        <color theme="1"/>
        <rFont val="Calibri"/>
        <family val="2"/>
        <scheme val="minor"/>
      </rPr>
      <t xml:space="preserve">
Marzo</t>
    </r>
    <r>
      <rPr>
        <sz val="11"/>
        <color theme="1"/>
        <rFont val="Calibri"/>
        <family val="2"/>
        <scheme val="minor"/>
      </rPr>
      <t>: Se evaluaron en el mes 36 acciones de las cuales se cerraron 36, es decir el 100%.
El porcentaje acumulado se calcula sumando la totalidad de acciones evaluadas en la vigencia (118 acciones) sobre las cerradas (108 acciones); esto arroja un avance acumulado de 91,5%</t>
    </r>
  </si>
  <si>
    <t>REPORTE AVANCE MENSUAL ENERO_2020</t>
  </si>
  <si>
    <t>REPORTE AVANCE MENSUAL FEBRERO_2020</t>
  </si>
  <si>
    <t>REPORTE AVANCE MENSUAL MARZO_2020</t>
  </si>
  <si>
    <t>Actuaciones sancionatorias</t>
  </si>
  <si>
    <t>Oficina Asesora Jurídica</t>
  </si>
  <si>
    <t>Sancionatorios</t>
  </si>
  <si>
    <t>Unidad de actos administrativos expedidos en procesos sancionatorios ambientales competencia de ANLA</t>
  </si>
  <si>
    <t>No. Actos Administrativos sancionatorios firmados</t>
  </si>
  <si>
    <t>Concepto técnico sancionatorio acogidos</t>
  </si>
  <si>
    <t>No. de actos administrativos firmados en procesos sancionatorios ambientales de competencia de la ANLA acogiendo conceptos técnicos de la etapa correspondiente</t>
  </si>
  <si>
    <t>DANIEL RICARDO PAEZ DELGADO [Jefe de Oficina Asesora Juridica]</t>
  </si>
  <si>
    <t>Se emitieron 60 actos administrativos para el mes de enero vigencia 2020, distribuidos en los dos indicadores medibles en enero, de la siguiente manera: Indicador 1 se emitieron 27 actos administrativos acogiendo CT de inicio y para el indicador 3 se emitieron 33 actos administrativos de gestión entre las etapas del proceso sancionatorio.
E1_SANCIONATORIO_ACTOS ADMINISTRATIVOS FIRMADOS_ENERO_2020</t>
  </si>
  <si>
    <t>Para el primer indicador se emitieron 25 autos de apertura de investigación y 2 autos de indagación preliminar.</t>
  </si>
  <si>
    <t>Se emitieron 60 actos administrativos para el mes de febrero vigencia 2020, distribuidos en los tres indicadores medibles en febrero, de la siguiente manera: Indicador 1 se emitieron 21 actos administrativos acogiendo CT de inicio, indicador 2 se emitieron 4 resoluciones de fondo y para el indicador 3 se emitieron 35 actos administrativos de gestión entre las etapas del proceso sancionatorio.
E1_SANCIONATORIO_ACTOS ADMINISTRATIVOS FIRMADOS_FEBRERO_2020</t>
  </si>
  <si>
    <t>Para el primer indicador se emitieron 21 autos de apertura de investigación y 1 indagación preliminar acogiendo CT.</t>
  </si>
  <si>
    <t>Se emitieron 65 actos administrativos para el mes de marzo vigencia 2020, distribuidos en los tres indicadores medibles en marzo, de la siguiente manera: Indicador 1 se emitieron 27 actos administrativos acogiendo CT de inicio, indicador 2 se emitieron 5 desiciones de fondo y para el indicador 3 se emitieron 33 actos administrativos de gestión entre las etapas del proceso sancionatorio.
E1_SANCIONATORIO_ACTOS ADMINISTRATIVOS FIRMADOS_MARZO_2020</t>
  </si>
  <si>
    <t>Para el primer indicador se emitieron 26 autos de apertura de investigación y 1 resolución que impone medida preventiva acogiendo CT.</t>
  </si>
  <si>
    <t>Decisiones de fondo</t>
  </si>
  <si>
    <t>No. de actos administrativos de decisiones de fondo firmados en procesos sancionatorios ambientales de competencia de la ANLA</t>
  </si>
  <si>
    <t>EL INDICADOR DE GESTIÓN 2 "DECISIONES DE FONDO" SE MIDE A PARTIR DE FEBRERO Y HASTA DICIEMBRE DE 2020</t>
  </si>
  <si>
    <t>Para el segundo indicador se emitieron 2 resoluciones de Cesación del proceso sancionatorio, 1 resolución de Exoneración de responsabilidad y 1 resolución que Impone Sanción.</t>
  </si>
  <si>
    <t>Para el segundo indicador se emitieron 2 resoluciones de Cesación del proceso sancionatorio, 1 auto de archivo de indagación preliminar  y 2 resoluciones que resuelven recurso de reposición a sanción.</t>
  </si>
  <si>
    <t>Impulso procesal en los procesos Sancionatorios Ambientales</t>
  </si>
  <si>
    <t>No. de actos administrativos firmados en procesos sancionatorios ambientales de competencia de la ANLA con avance entre etapas</t>
  </si>
  <si>
    <t>Para el tercer indicador se emitieron 8 autos que decreta, rechaza o niega pruebas, 6 auto de aclaración, 6 autos de formulación de cargos, 5 autos de archivo de proceso sancionatorio, 2 resolución que levanta medida preventiva, 1 auto de cobro sancionatorio, 1 auto de traslado por competencia, 1 auto que ordena diligencia, 1 auto por el que se fija fecha para la práctica de una prueba, 1 auto por el que resuelve recurso y 1 auto que vincula persona a investigación.</t>
  </si>
  <si>
    <t>Para el tercer indicador se emitieron 17 autos que decreta, rechaza o niega pruebas, 13 autos de formulación de cargos, 1 auto de archivo de proceso sancionatorio, 1 resolución que levanta medida preventiva, 2 auto por el que resuelve recurso.</t>
  </si>
  <si>
    <t>Para el tercer indicador se emitieron 27 autos de formulación de cargos, 2 autos que decreta, rechaza o niega pruebas, 1 auto de aclaración, 1 auto de prorroga del periodo probatorio, 1 auto que ordena diligencia dentro de investigación sancionatoria y 1 resolución que niega levantamiento de medida.</t>
  </si>
  <si>
    <t>Defensa jurídica</t>
  </si>
  <si>
    <t>Apoyo</t>
  </si>
  <si>
    <t>Gestión jurídica</t>
  </si>
  <si>
    <t>Procesos judiciales</t>
  </si>
  <si>
    <t>Tasa de éxito procesal</t>
  </si>
  <si>
    <t>Número de procesos en contra de la entidad terminados (ejecutoriado) con fallo favorable / Total numero de procesos en contra de la entidad terminados</t>
  </si>
  <si>
    <t>Para el mes de enero de 2020 se emitieron seis fallos ejecutoriados de los cuales 5 son favorables para la entidad:
E1_JUDICIALES 2014-00071
E2_JUDICIALES 2015-00019
E3_JUDICIALES 2017-00449
E4_JUDICIALES 2017-00606
E5_JUDICIALES 2009-00301
E6_JUDICIALES 2018-704 DESFAVORABLE</t>
  </si>
  <si>
    <t xml:space="preserve">Para el mes de febrero de 2020, se emitieron dos fallos uno  favorable  y  uno desfavorable ejecutoriado.
E1_JUDICIALES 2016-07850 FAVORABLE 1 INST
E2_JUDICIALES 2016-00114 DESFAVORABLE 2 INST
</t>
  </si>
  <si>
    <t xml:space="preserve">Para el mes de marzo de 2020 se emitió un fallo ejecutoriado favorable:
E1_JUDICIALES 2011-00612
</t>
  </si>
  <si>
    <t>Conceptos jurídicos</t>
  </si>
  <si>
    <t>Implementación Plan de Acción de Comité de Conciliación</t>
  </si>
  <si>
    <t>Porcentaje de avance de actividades de acuerdo con el cronograma</t>
  </si>
  <si>
    <t>De acuerdo con el Plan de Acción de Comité de Conciliación estaban programadas 20 actividades que se cumplieron en su totalidad.
E5_JUDICIALES_Plan de Acción Comité de Conciliación 2020</t>
  </si>
  <si>
    <t>De acuerdo con el Plan de Acción de Comité de Conciliación estaban programadas 22 actividades que se cumplieron en su totalidad.
E2_JUDICIALES_Plan de Acción Comité de Conciliación 2020</t>
  </si>
  <si>
    <t>De acuerdo con el Plan de Acción de Comité de Conciliación estaban programadas 24 actividades que se cumplieron en su totalidad.
E2_JUDICIALES_Plan de Acción Comité de Conciliación 2020
E3_JUDICIALES_EVIDENCIAS COMITÉ DE CONCILIACIÓN_MARZO 2020</t>
  </si>
  <si>
    <t>Gestión Presupuestal y eficiencia del gasto público</t>
  </si>
  <si>
    <t>Procesos coactivos</t>
  </si>
  <si>
    <t>Cartera coactiva recuperada hasta la vigencia 2020</t>
  </si>
  <si>
    <t>Total recaudo en banco de cartera coactiva</t>
  </si>
  <si>
    <t>Recaudo en banco cartera coactiva</t>
  </si>
  <si>
    <t>Total recaudo en banco de cartera / meta establecida para la vigencia</t>
  </si>
  <si>
    <t>Durante el periodo de enero de 2020 se recaudo por cobro coactivo $1,807,011,508, representado en  pagos parciales y pagos totales, logrando el 42% de la meta propuesta.
E1_COACTIVO_Base de Datos Financiera_ Ene 2020</t>
  </si>
  <si>
    <t xml:space="preserve">Durante el periodo de enero de 2020 se recaudo por cobro coactivo $1,807,011,508, representado en  pagos parciales y pagos totales, logrando el 42% de la meta propuesta.
</t>
  </si>
  <si>
    <r>
      <rPr>
        <sz val="10"/>
        <rFont val="Calibri"/>
        <family val="2"/>
        <scheme val="minor"/>
      </rPr>
      <t>A febrero de 2020 se recaudo por cobro coactivo y persuasivo $370.606.078, representado en  pagos parciales y pagos totales.</t>
    </r>
    <r>
      <rPr>
        <sz val="10"/>
        <color rgb="FFFF0000"/>
        <rFont val="Calibri"/>
        <family val="2"/>
        <scheme val="minor"/>
      </rPr>
      <t xml:space="preserve">
</t>
    </r>
    <r>
      <rPr>
        <sz val="10"/>
        <rFont val="Calibri"/>
        <family val="2"/>
        <scheme val="minor"/>
      </rPr>
      <t xml:space="preserve">E1_COACTIVO_Base Datos Financiera_ Pagos CC_Feb 2020
E2_COACTIVO_Base Datos Financiera_Pagos CP_Feb 2020
E3_Cuadro Seguimiento Cobro Coactivo
</t>
    </r>
  </si>
  <si>
    <t>Durante el periodo de febrero de 2020 se recaudo por cobro coactivo $216.454.628, representado en  pagos parciales y pagos totales.</t>
  </si>
  <si>
    <r>
      <rPr>
        <sz val="10"/>
        <rFont val="Calibri"/>
        <family val="2"/>
        <scheme val="minor"/>
      </rPr>
      <t>A Marzo de 2020 se recaudo por cobro coactivo   $650.170.439, representado en  pagos parciales y pagos totales.</t>
    </r>
    <r>
      <rPr>
        <sz val="10"/>
        <color rgb="FFFF0000"/>
        <rFont val="Calibri"/>
        <family val="2"/>
        <scheme val="minor"/>
      </rPr>
      <t xml:space="preserve">
</t>
    </r>
    <r>
      <rPr>
        <sz val="10"/>
        <rFont val="Calibri"/>
        <family val="2"/>
        <scheme val="minor"/>
      </rPr>
      <t xml:space="preserve">E1_COACTIVO_BASE FINANCIERA_PAGOS CC_Marzo 2020
E2_COACTIVO_BASE FINANCIERA_PAGOS CP_Marzo 2020
E3_Cuadro_S_Cobro_Coactivo_Metas Marzo 2020
</t>
    </r>
  </si>
  <si>
    <t>Durante el periodo de marzo de 2020 se recaudo por cobro coactivo  $205.223.653, representado en  pagos parciales y pagos totales.</t>
  </si>
  <si>
    <t>Recaudo en banco cartera persuasiva</t>
  </si>
  <si>
    <t>Total recaudo en banco de cartera / meta establecida para la vigencia\n</t>
  </si>
  <si>
    <t>En el primer mes del año 2020, no se recibio remisiones de autos de cobro por parte de SAF.</t>
  </si>
  <si>
    <t>Se recibe en el segundo mes del año 2020, 184 remisiones por parte de SAF por cobros de seguimiento y por multas, representadas en $4,816,495,550. 
Se recaudo $154,151,450 de la meta establecida para el 2020.</t>
  </si>
  <si>
    <t xml:space="preserve">
Durante el mes de marzo se recaudo por cobro persuasivo $444,946,786 de la meta establecida para el 2020.</t>
  </si>
  <si>
    <t>Procesos disciplinarios</t>
  </si>
  <si>
    <t>Oficina de Control Disciplinario Interno</t>
  </si>
  <si>
    <t>Control Disciplinario</t>
  </si>
  <si>
    <t>Porcentaje de trámites de actuaciones disciplinarias</t>
  </si>
  <si>
    <t>Número total de procesos impulsados / Número total de procesos</t>
  </si>
  <si>
    <t>NIDIAN CONSTANZA BARRETO CABALLERO [Coordinador(a)]</t>
  </si>
  <si>
    <t>Durante el mes de enero se emitieron 36 Actos administrativos.</t>
  </si>
  <si>
    <t>Durante el mes de febrero se emitieron 60 Actos administrativos.</t>
  </si>
  <si>
    <t>Durante el mes de marzo se emitieron  8 Actos administrativos.</t>
  </si>
  <si>
    <t>Grado de satisfacción en acciones preventivas de los colaboradores capacitados</t>
  </si>
  <si>
    <t>Porcentaje de satisfacción alcanzado por los colaboradores capacitados en acciones preventivas</t>
  </si>
  <si>
    <t>Durante el mes de enero se capacitan 300 Servidores de Anla con alto grado de satisfacción.</t>
  </si>
  <si>
    <t>Durante el mes de febrero se capacitan 43 colaboradores de Anla con alto grado de satisfacción.</t>
  </si>
  <si>
    <t>Durante el mes de marzo se capacitan 17  colaboradores de Anla con alto grado de satisfacción.</t>
  </si>
  <si>
    <t>Procesos (activos a 30 septiembre 2019) en etapa de cargos o finalizada a 31 de diciembre 2020</t>
  </si>
  <si>
    <t>Número de procesos avanzados a la etapa de cargos o finalizados/104 procesos (año 2015 a septiembre 30) terminados</t>
  </si>
  <si>
    <t>Este Indicador tiene el porcentaje de las tareas realizadas durante la vigencia es importante mencionar que se mide anualmenta mide anualmenre.</t>
  </si>
  <si>
    <t>Este Indicador tiene el porcentaje de las tareas realizadas durante la vigencia es importante mencionar que se mide anualmenta mide anualmente, y el porcentaje arrojado es la suma de cada mes.</t>
  </si>
  <si>
    <t>Gobierno Digital, antes Gobierno en Línea</t>
  </si>
  <si>
    <t>Gestión tecnológica y seguridad de la información</t>
  </si>
  <si>
    <t>Oficina de Tecnologías de la Información</t>
  </si>
  <si>
    <t>Tecnologias de Información y Comunicación</t>
  </si>
  <si>
    <t>Sistema de interoperabilidad implementado</t>
  </si>
  <si>
    <t>Número de sistemas integrados</t>
  </si>
  <si>
    <t>Herramientas De Software Adquiridas</t>
  </si>
  <si>
    <t>No. de herramientas de software adquiridas</t>
  </si>
  <si>
    <t>FERNANDO OSPINA MARIN [Líder]</t>
  </si>
  <si>
    <t>Se está definiendo el alcance de la contratación del API GATEWAY que permitirá la interoperabilidad entre sistemas de información y servicios de acuerdo con la meta definida.</t>
  </si>
  <si>
    <t>Actualmente el proceso TIC se encuentra realizando las actividades precontractuales necesarias para la adquisición de los sistemas y las tecnologías planeadas en el Plan de Adquisiciones 2020</t>
  </si>
  <si>
    <t>Se está definiendo el alcance de la contratación del API GATEWAY que permitirá la interoperabilidad entre sistemas de información y servicios de acuerdo con la meta definida.
En el mes de marzo se definió la ficha técnica de APIGATEWAY solicitaron cotizaciones con fines de estudio de mercado a varias empresas colombianas.</t>
  </si>
  <si>
    <t>En el mes de marzo se firmó el contrato correspondiente a la renovación de licencias y servicios geoespaciales PLANET por valor de $1.141.000.0000
Actualmente el proceso TIC se encuentra realizando las actividades precontractuales necesarias para la adquisición de los sistemas y las tecnologías planeadas en el Plan de Adquisiciones 2020</t>
  </si>
  <si>
    <t>Equipos De Hardware Adquiridos</t>
  </si>
  <si>
    <t>No. de unidades de hardware adquiridos</t>
  </si>
  <si>
    <t>Usuarios del sistema</t>
  </si>
  <si>
    <t>Número de usuarios del sistema</t>
  </si>
  <si>
    <t>Módulos Del Sistema De Información Actualizados</t>
  </si>
  <si>
    <t>Número de módulos actualizados/optimizados</t>
  </si>
  <si>
    <t>Aunque se realizó el paso a producción del aplicativo de contingencias en la última semana de enero, aún no se ha registrado una cifra contundente de usuarios impactados con la solución. Se reportará en febrero.</t>
  </si>
  <si>
    <t>Se realizó el análisis, diseño y desarrollo del aplicativo de contingencias en la Ventanilla VITAL.</t>
  </si>
  <si>
    <t xml:space="preserve">Aunque se realizó el paso a producción del aplicativo de contingencias y se reportaron 385 usuarios </t>
  </si>
  <si>
    <t>Se realizó el paso a producción del aplicativo de contingencias y se reportaron 385 usuarios impactados.</t>
  </si>
  <si>
    <t xml:space="preserve">Se realizó el análisis, diseño y desarrollo del aplicativo de contingencias en la Ventanilla VITAL.
Se realizó el análisis, diseño, desarrollo y puesta en producción de la aplicación ANLA en las plataforma IOS de APPLE.
Se realizó el análisis, diseño, desarrollo y puesta en producción del formulario de Sistema de Recolección Selectiva SRS. </t>
  </si>
  <si>
    <t>Procesos del modelo de gestión de seguridad implementado</t>
  </si>
  <si>
    <t># procesos de perfilamiento de herramientas de gestión de seguridad de la información ejecutados</t>
  </si>
  <si>
    <t>Sistemas de seguridad electrónica adquiridos</t>
  </si>
  <si>
    <t># de componentes de seguridad adquiridos o actualizados</t>
  </si>
  <si>
    <t>Se realizó el perfilamiento de la herramienta espacializada de gestion y restauración de copias de respaldo NETBACKUP.</t>
  </si>
  <si>
    <t>Se realizó el perfilamiento de la herramienta espacializada de gestion y restauración de copias de respaldo NETBACKUP.
Se realizó el perfilamiento de VMWARE</t>
  </si>
  <si>
    <t>Implementación del Plan de Tratamiento de Riesgos de Seguridad y Privacidad de la Información 2020 -2024</t>
  </si>
  <si>
    <t># de actividades ejecutadas / # actividades proyectadas para 2021</t>
  </si>
  <si>
    <t>Formulación, presentación, recepción de recomendaciones, realización de ajustes  y aprobación por parte del Comité Directivo al Implementación del Plan de Tratamiento de Riesgos de Seguridad y Privacidad de la Información 2020 -2022</t>
  </si>
  <si>
    <t>5%
Formulación, presentación, recepción de recomendaciones, realización de ajustes  y aprobación por parte del Comité Directivo al Implementación del Plan de Tratamiento de Riesgos de Seguridad y Privacidad de la Información 2020 -2022
25%
Realización de 2 mesas de trabajo con la OAP y Control Interno y consolidación de nueva propuesta de mapa de riesgos de seguridad de la información de acuerdo con las nuevas necesitades y visión de la OTI.</t>
  </si>
  <si>
    <t>Implementación del Plan de Seguridad y Privacidad de la Información 2020 -2024</t>
  </si>
  <si>
    <t># de actividades ejecutadas / # actividades proyectadas para 2020</t>
  </si>
  <si>
    <t>Formulación, presentación, recepción de recomendaciones, realización de ajustes  y aprobación por parte del Comité Directivo al Implementación del Plan de Seguridad y Privacidad de la Información 2020 -2022</t>
  </si>
  <si>
    <t xml:space="preserve">5%
Formulación, presentación, recepción de recomendaciones, realización de ajustes  y aprobación por parte del Comité Directivo al Implementación del Plan de Seguridad y Privacidad de la Información 2020 -2022
15%
-Prueba de concepto Microsoft-GLUP estado de seguridad Office 365.
</t>
  </si>
  <si>
    <t>Implementación del Plan Estratégico de Tecnologías de la Información y las Comunicaciones PETIC 2020 -2024</t>
  </si>
  <si>
    <t>Actividades De Soporte Y Gestión De Procesos Realizadas</t>
  </si>
  <si>
    <t xml:space="preserve">Formulación, presentación, recepción de recomendaciones, realización de ajustes  y aprobación por parte del Comité Directivo al Plan Estratégico de TI 2020-2022 </t>
  </si>
  <si>
    <t>Implementación y despliegue del pool de direcciones de LACNIC, así como la configuración requerida para la puesta en marcha del protocolo IPV6 en la ANLA, como parte del cumplimiento de los plazos y lineamientos de MinTIC.</t>
  </si>
  <si>
    <t xml:space="preserve">5%
-Formulación, presentación, recepción de recomendaciones, realización de ajustes  y aprobación por parte del Comité Directivo al Plan Estratégico de TI 2020-2022 
20%
-Elaboración de tableros de control, reportes e informes de periodicidad mensual para el seguimiento de los proyectos de la OTI.
</t>
  </si>
  <si>
    <t>Datos publicados en el portal Datos abiertos del Gobierno colombiano</t>
  </si>
  <si>
    <t>Conjunto de datos publicados en el portal Datos abiertos del Gobierno colombiano</t>
  </si>
  <si>
    <t>No se estimó publicación de datos abiertos para este mes</t>
  </si>
  <si>
    <t>Servicio al ciudadano</t>
  </si>
  <si>
    <t>Atención al ciudadano</t>
  </si>
  <si>
    <t>SAF</t>
  </si>
  <si>
    <t>Centro de orientación al usuario en implementación</t>
  </si>
  <si>
    <t>Centro de Orientación en implementación</t>
  </si>
  <si>
    <t>JHON COBOS TELLEZ [Coordinador(a)]</t>
  </si>
  <si>
    <t xml:space="preserve">No presenta avance el indicador, teniendo en cuenta que el Plan de trabajo de la implementación del Centro de Orientación se ejecutará una vez se dé el traslado a la nueva sede. </t>
  </si>
  <si>
    <t>No presenta avance el indicador, teniendo en cuenta que el Plan de trabajo de la implementación del Centro de Orientación se ejecutará una vez se dé el traslado a la nueva sede. En el mes de marzo se adelantó reunión con el Grupo de Gestión Administrativa, con el fin de revisar los temas de accesibilidad.</t>
  </si>
  <si>
    <t>-</t>
  </si>
  <si>
    <t>Avance en la caracterización grupos de interés</t>
  </si>
  <si>
    <t>(Actividades realizadas * peso porcentual ) / total de actividades</t>
  </si>
  <si>
    <t>Se definieron un total de 4 actividades, así:
1. Ajuste formulario de caracterización
2. Identificación de Entidades Públicas - Autoridades Ambientales (de acuerdo con la priorización).
3. Aplicación de formulario de caracterización.
4. Tabulación y Resultados</t>
  </si>
  <si>
    <t>Aumentar la Satisfacción de los Usuarios frente a los trámites y Servicios</t>
  </si>
  <si>
    <t>Incrementar en 5 puntos el grado de satisfacción de los usuarios externos frente a los trámites y Servicios</t>
  </si>
  <si>
    <t>Resultados Encuesta de Satisfacción 2019</t>
  </si>
  <si>
    <t>Fortalecimiento de los canales de atención.</t>
  </si>
  <si>
    <t>Implementar 3 nuevos canales de atención a los usuarios y/o ciudadanos</t>
  </si>
  <si>
    <t>No está programado para el mes de enero</t>
  </si>
  <si>
    <t>Se implementaran 3 nuevos canales:
1. Virtual hold
2. Click to call
3. Chatbot</t>
  </si>
  <si>
    <t>Fortalecer la utilización de medios electrónicos en el proceso de notificación de los actos administrativos expedidos por la Entidad</t>
  </si>
  <si>
    <t xml:space="preserve">Notificaciones por medios electrónicos / notificaciones realizadas </t>
  </si>
  <si>
    <t xml:space="preserve">se evidencia que el 73% de las notificaciones realizadas en la vigencia 2019 fueron por medios electrónicos y un 25% por medios físicos, sin embargo, de este número de notificaciones físicas se realizaron 722 notificaciones a la empresa ECOPETROL SA. y 228 a la empresa ADAMA, quienes no aceptan la utilización de medios electrónicos en los procesos de notificación. </t>
  </si>
  <si>
    <t>En el reporte de notificaciones del mes de febrero se evidencia el cumplimiento del 79% en el citado indicador, cuya fuente es la base de datos de la  “Ventanilla Única de Tramites Ambientales - Vital” remitido por el área de tecnología del Grupo de Servicios Administrativos.</t>
  </si>
  <si>
    <t xml:space="preserve">Se evidencia el cumplimiento del 82,47% en el citado indicador, de los 1238 usuarios a notificar en el mes de marzo, 1018 fueron notificados a traves de medios electrónicos y 220 medios físicos. La  fuente de información es la base de datos de la  “Ventanilla Única de Tramites Ambientales - Vital” remitido por el área de Tecnologías de la Información. </t>
  </si>
  <si>
    <t>Caracterización de los conflictos de competencia de la Autoridad Nacional de Licencias Ambiental</t>
  </si>
  <si>
    <t>Número de actividades elaboradas/Número de actividades programadas</t>
  </si>
  <si>
    <t xml:space="preserve">Se llevó a cabo la primera actividad del Plan de Trabajo correspondiente al Análisis de información recolectada en 2019 sobre denuncias ambientales, requerimientos de entes de control  y resultados de las acciones de presencia territorial y, la definición y métodos para la caracterización de los conflictos para la ANLA. </t>
  </si>
  <si>
    <t>Porcentajes de peticiones, quejas, reclamos y sugerencias (PQRS) atendidas de manera oportuna</t>
  </si>
  <si>
    <t>N° de PQRS respondidos por el GAC en los terminos legales durante el periodo / N° de PQRS asignados al GAC</t>
  </si>
  <si>
    <t>Base de datos Control de tiempos DPE 2019</t>
  </si>
  <si>
    <t xml:space="preserve">Recibidos en agosto atendido en enero 1
Recibidos en septiembre atendido en enero 1
Recibidos en octubre atendido en enero 3
Recibidos en noviembre atendido en enero 4
Recibidos en diciembre atendido en enero 84
Recibidos en enero atendido en enero 368
Recibidos en agosto para elaborar auto de desistimiento. 4
Recibidos en septiembre para elaborar auto de desistimiento. 8
Recibidos en octubre para elaborar auto de desistimiento. 3
Recibidos en diciembre para elaborar auto de desistimiento. 1
Recibidos en diciembre se encuentran en trámite dentro del término. 2 
Recibidos en enero se encuentran en trámite dentro del término. 210
Nota 1: se aclara que de los 12 registros de octubre reportados en diciembre pendientes para elaborar auto de desistimiento, en 4 de ellos el profesional a cargo identificó que el usuario cumplió con el requerimiento en el término establecido, y la solicitud fue remitida al expediente, por lo tanto no es necesario elaborar auto de desistimiento.
Nota 2: se aclara que de los 7 registros de noviembre reportados en diciembre pendientes para elaborar auto de desistimiento, en 3 de ellos el profesional a cargo identificó que el usuario cumplió con el requerimiento en el término establecido, y la solicitud fue remitida al expediente, por lo tanto no es necesario elaborar auto de desistimiento.
Nota 3: se aclara que de los 95 registros de diciembre reportados en el mismo mes, 1 de ellos el profesional a cargo identificó que el usuario cumplió con el requerimiento en el término establecido, y la solicitud fue remitida al expediente, 
con 4 registros se evidencia que tenían respuesta en el mes de diciembre (2019203035-1-000, 2019202811-1-000, 2019206508-1-000, 2019202704-1-000), 3 fueron reasignados al expediente (2019200394-1-000, 2019205346-1-000, 2019206837-1-000) 1 fue anulado (2019205064-1-000) y 1 reasignado a la SIPTA ( 2019206726-1-000)
</t>
  </si>
  <si>
    <t>En los meses de Enero y febrero se el Grupo de Atención al Ciudadano respondió en terminos legales 718 PQRS, de un total de recibidos de 724, es decir, se respondieron fuera de termino 6 PQRS.</t>
  </si>
  <si>
    <t>En los meses de Enero, febrero y marzo el Grupo de Participación Ciudadana y Atención al Ciudadano respondió en terminos legales 1341 PQRS, de un total de recibidos de 1351, es decir, se respondieron fuera de termino 10 PQRS.</t>
  </si>
  <si>
    <t>Gestión administrativa, financiera y del talento humano</t>
  </si>
  <si>
    <t>Gestión de contratación</t>
  </si>
  <si>
    <t>Contratos</t>
  </si>
  <si>
    <t>Porcentaje de certificaciones realizadas y enviadas</t>
  </si>
  <si>
    <t>N° de certificaciones enviadas a los contratistas por medio de correo electrónico/ contratos terminados en 2019 y 2020 sin certificación</t>
  </si>
  <si>
    <t>MARIA ELMIRA DIAZ ROJAS [Coordinador(a)]</t>
  </si>
  <si>
    <t>Ente indicador se reportan trimestralmente</t>
  </si>
  <si>
    <t>Este indicador tiene periodicidad de reporte trimestral, por lo que el primer reporte se hará en abril de 2020, incluyendo los meses de enero a marzo.</t>
  </si>
  <si>
    <t xml:space="preserve">En el primer trimestre de 2020 se logró enviar 997 certificaciones de un total de 1623 contratos terminados que se deben certificar. </t>
  </si>
  <si>
    <t>Porcentaje de contratos por modalidad contratación directa de prestación de servicios y/o apoyo a la gestión atendidos dentro de los tiempos establecidos en el procedimiento</t>
  </si>
  <si>
    <t>No. total de dias de tramite del proceso de contratación directa de prestación de servicios profesionales y/o apoyo a la gestión /No. dias establecidos en el procedimiento de contratación directa de prestación de servicios profesionales y/o apoyo a la gestión</t>
  </si>
  <si>
    <t>En el mes de enero fueron suscritos 566 contratos, de los cuales el 100% fueron firmados dentro de los términos del procedimiento.</t>
  </si>
  <si>
    <t>El mes de febrero se firmaron 135 contratos de Prestación de Servicios Profesionales y/o Apoyo, los cuales se firmaron dentro de los términos en su totalidad.</t>
  </si>
  <si>
    <t>El mes de marzo se firmaron 21 contratos de Prestación de Servicios Profesionales y/o Apoyo, los cuales se firmaron dentro de los términos en su totalidad.</t>
  </si>
  <si>
    <t>Porcentaje de liquidaciones realizadas dentro de los términos de ley.</t>
  </si>
  <si>
    <t>N° de liquidaciones realizadas / Solicitudes de liquidación recibidas en debida forma</t>
  </si>
  <si>
    <t xml:space="preserve">Entre los meses de enero y marzo se recibieron 19 solicitudes de liquidación en debida forma, de las cuales se liquidaron 10 contratos. </t>
  </si>
  <si>
    <t>Gestión financiera</t>
  </si>
  <si>
    <t>Finanzas y presupuesto</t>
  </si>
  <si>
    <t>Porcentaje de recaudo efectivo</t>
  </si>
  <si>
    <t>Valor Recaudo efectivo / (Meta recaudo vigencia 2020)</t>
  </si>
  <si>
    <t>2 Recaudo efectivo servicio de seguimiento</t>
  </si>
  <si>
    <t>Valor efectivo recaudado servicio de seguimiento / (Valor proyectado recaudo por servicio de seguimiento)</t>
  </si>
  <si>
    <t>MARTA PATRICIA CRISTANCHO MEDINA [Coordinador(a)]</t>
  </si>
  <si>
    <t>En el mes de enero se recaudó $6.445.640.723 correspondiente al 4% de la meta  $ 145.132.117.462 esperada para la vigencia 2020.</t>
  </si>
  <si>
    <t>En el mes de enero se recaudó por el servicio de  seguimiento $5.593.386.723 correspondiente al 5% de la meta  $ 104.311.415.646,781 esperada para la vigencia 2020.</t>
  </si>
  <si>
    <t>Al mes de febrero se ha recaudado $11.248.540.381 correspondiente al 8% de la meta  $ 145.132.117.462 esperada para la vigencia 2020.</t>
  </si>
  <si>
    <t>Al mes de febrero se ha recaudado por el servicio de  seguimiento  $ 9.251.994.529 correspondiente al 9% de la meta  $ 104.311.415.646,781 esperada para la vigencia 2020.</t>
  </si>
  <si>
    <t>Al mes de marzo se ha recaudado $22,147,193,124 correspondiente al 15% de la meta  $ 145.132.117.462 esperada para la vigencia 2020.</t>
  </si>
  <si>
    <t>Al mes de marzo se ha recaudado por el servicio de  seguimiento  $19,279,085,420 correspondiente al 19% de la meta  $ 104.311.415.646,781 esperada para la vigencia 2020.</t>
  </si>
  <si>
    <t>Avance en la estrategia de sostenibilidad financiera de ANLA</t>
  </si>
  <si>
    <t>(Avance de las actividades* peso porcentual) / total de actividades</t>
  </si>
  <si>
    <t xml:space="preserve">Actualmente la Subdirección Administrativa y Financiera está adelantando el trámite de contratación de la persona encargada de la estrategia de sostenibilidad financiera de ANLA </t>
  </si>
  <si>
    <t>Avance a la Ejecución presupuestal en obligaciones</t>
  </si>
  <si>
    <t>Valor obligado / valor comprometido</t>
  </si>
  <si>
    <t>El prespuesto vigencia 2020 para el mes de enero registró obligaciones acumulados del 9%; Incluyendo apropiacion vigente de presupuesto de regalias asignada a la ANLA mediante Resolucion 659-2019</t>
  </si>
  <si>
    <t>El prespuesto vigencia 2020 para el mes de febrero registró obligaciones acumulados del 16%; Incluyendo presupuesto comprometido de regalias,apropiacion que fue asignada a la ANLA mediante Resolucion 659-2019</t>
  </si>
  <si>
    <t>El prespuesto vigencia 2020 para el mes de marzo registró obligaciones acumulados del 23%; Incluyendo presupuesto comprometido de regalias,apropiacion que fue asignada a la ANLA mediante Resolucion 659-2019</t>
  </si>
  <si>
    <t>Avance a la Ejecución presupuestal en compromisos</t>
  </si>
  <si>
    <t>Valor comprometido / programación presupuestal de las dependencias</t>
  </si>
  <si>
    <t>El prespuesto vigencia 2020 para el mes de enero registró compromisos acumulados del 54%; Incluyendo apropiacion vigente de presupuesto de regalias asignada a la ANLA mediante Resolucion 659-2019</t>
  </si>
  <si>
    <t>El prespuesto vigencia 2020 para el mes de febrero registró compromisos acumulados del 60%; Incluyendo apropiacion vigente de presupuesto de regalias asignada a la ANLA mediante Resolucion 659-2019</t>
  </si>
  <si>
    <t>El prespuesto vigencia 2020 para el mes de marzo registró compromisos acumulados del 69%; Incluyendo apropiacion vigente de presupuesto de regalias asignada a la ANLA mediante Resolucion 659-2019</t>
  </si>
  <si>
    <t>Implementación del Gestor Documental</t>
  </si>
  <si>
    <t>Número de actividades desarrolladas/Número de actividades programadas</t>
  </si>
  <si>
    <t>JOSE RAUL NAVARRETE VALBUENA [Coordinador(a)]</t>
  </si>
  <si>
    <t>Se está elaborando la ficha técnica para el proceso de adquisición del Gestor Documental, la cual se encuentra en borrador.</t>
  </si>
  <si>
    <t>Se ajusto la ficha técnica en conjunto con el área de técnologias y se envio a los oferentes para dar inicio al proceso de Estudio de Mercados. Se anexa correo electrónico como evidencia.</t>
  </si>
  <si>
    <t>Plan Institucional de Archivos PINAR diseñado y en implementación</t>
  </si>
  <si>
    <t>Tablas de Retención Documental implementadas</t>
  </si>
  <si>
    <t>Tablas de retención documental implementadas</t>
  </si>
  <si>
    <t>Para el mes de enero no se programó proceso de implementación de TRD según cronograma</t>
  </si>
  <si>
    <t>De acuerdo con las actividades planteadas en los cronogramas definidos en el PINAR, se ejecutó la totalidad como se describe en el avance del indicador.</t>
  </si>
  <si>
    <t>Se llevó a cabo el proceso de implementación de TRD en la Oficina de Control Interno.</t>
  </si>
  <si>
    <t>Número de metros lineales digitalizados</t>
  </si>
  <si>
    <t>No. de metros lineales de archivo organizados y digitalizados</t>
  </si>
  <si>
    <t>Para el mes de enero no se programó proceso de implementación de Metros lineales digitalizados según cronograma</t>
  </si>
  <si>
    <t>El proceso de digitalización está asociado al proyecto de implementación del gestor Documental, por lo que durante el mes de febrero no hay avance.</t>
  </si>
  <si>
    <t>El proceso de digitalización está asociado al proyecto de implementación del gestor Documental, por lo que durante el mes de Marzo no hay avance.</t>
  </si>
  <si>
    <t>Número de transferencias documentales formalizadas</t>
  </si>
  <si>
    <t>Transferencias documentales formalizadas/Transferencias Documentales por Formalizar</t>
  </si>
  <si>
    <t>El proceso de digitalización está asociado al proyecto de implementación del gestor Documental, por lo que durante el mes de enero no hay avance.</t>
  </si>
  <si>
    <t>Se llevó a cabo el proceso correspondiente en el Grupo de Atención al Ciudadano</t>
  </si>
  <si>
    <t>Se llevó a cabo la Transferencia Documental correspondiente en el Grupo de Atención al Ciudadano.</t>
  </si>
  <si>
    <t>Tablas de Retención Documental actualizadas</t>
  </si>
  <si>
    <t># Total de Tablas de Retención Documental actualizadas / # Total de Tablas de Retención Documental por Actualizar</t>
  </si>
  <si>
    <t>De acuerdo con el cronograma, para el mes de enero no se programó proceso de formalización de transferencias, sin embargo se llevó a cabo transferencia de 131 cajas de archivo correspondientes al Grupo de Finanzas y Presupuesto.</t>
  </si>
  <si>
    <t>No se realizó actualización de las TRD, debido a que este proceso está asociado al cambio de la estructura organizacional de la entidad.</t>
  </si>
  <si>
    <t>Se dio inicio al proceso de la actualización de las TRD a partir de la nueva estructura organizacional, se realizo cuadro comparativo de las dependencias actuales frente a las TRDS convalidadas en el año 2018.</t>
  </si>
  <si>
    <t>Gestión administrativa</t>
  </si>
  <si>
    <t>Servicios administrativos</t>
  </si>
  <si>
    <t>Uso adecuado sobre el consumo del recurso papel</t>
  </si>
  <si>
    <t>(Promedio mensual (peso hoja) histórico - Consumo mensual (peso hoja))) / (Promedio anual historico (peso hoja)</t>
  </si>
  <si>
    <t>En el mes de enero, el consumo total fue de 269.496 número de hojas, para un ahorro del 14%, comparado con el promedio anual histórico que es de 313.518 número de hojas.</t>
  </si>
  <si>
    <t>En el mes de febrero, el consumo total fue de 167.213 número de hojas, para un ahorro del 35%, comparado con el promedio anual histórico que es de 313.518 número de hojas.</t>
  </si>
  <si>
    <t xml:space="preserve">En el mes de marzo, el consumo total fue de 103.640 número de hojas, para un ahorro del 60%, comparado con el promedio anual histórico que es de 313.518 número de hojas.
(la meta se supera teniendo en cuenta la contingencia por el COVID-19 y la ausencia de usuarios internos en la entidad) </t>
  </si>
  <si>
    <t>Grado de satisfacción en casos mesa de ayuda</t>
  </si>
  <si>
    <t>Porcentaje de satisfaccIón en mesa de ayuda</t>
  </si>
  <si>
    <t>Se calificaron en el mes de enero un total de 92 casos, de los cuales 67 fueron de calificación excelente (100/100), 23 casos de calificación bueno (70/100) y 2 casos de calificación regular (30/100) para un total de 91% de satisfacción.</t>
  </si>
  <si>
    <t>Se calificaron en el mes de enero un total de 58 casos, de los cuales 40 fueron de calificación excelente (100/100), 18 casos de calificación bueno (70/100) y 3 casos de calificación regular (30/100) para un total de 94% de satisfacción.</t>
  </si>
  <si>
    <t>Se calificaron en el mes de marzo un total de 41 casos, de los cuales 26 fueron de calificación excelente (100/100), 13 casos de calificación bueno (70/100) y 2 casos de calificación regular (30/100) para un total de 89% de satisfacción.</t>
  </si>
  <si>
    <t>Porcentaje de cumplimiento del cronograma para el traslado</t>
  </si>
  <si>
    <t>Actividades del cronograma de trabajo realizadas / Actividades del cronograma de trabajo planeadas</t>
  </si>
  <si>
    <t xml:space="preserve">Se programaron en el cronograma de traslado de la sede un total de 8 Macroactividades para el periodo, las cuales se cumplieron en su totalidad 4 de ellas </t>
  </si>
  <si>
    <t xml:space="preserve">Se programaron en el cronograma de traslado de la sede un total de 8 Macroactividades para el periodo, las cuales se cumplieron en su totalidad 5 de ellas </t>
  </si>
  <si>
    <t>Gestión del Talento humano</t>
  </si>
  <si>
    <t>Talento humano</t>
  </si>
  <si>
    <t>Porcentaje de impacto de los eventos de bienestar</t>
  </si>
  <si>
    <t>Calificación actividad 1 + Calificación actividad 2+ Calificación actividad (n)/ # de actividades calificadas</t>
  </si>
  <si>
    <t>Participación del núcleo familiar de los funcionarios en las actividades de bienestar.</t>
  </si>
  <si>
    <t># servidores que asisten con su núcleo familiar/# Servidores Asistentes total</t>
  </si>
  <si>
    <t>JOHN MAURICIO ARDILA SANTOS [Coordinador(a)]</t>
  </si>
  <si>
    <t>Durante el mes de ENERO realizaron las actividades respectivas para publicación del Programa de bienestar e incentivos, se hace referencia que el cronograma esta para ser realizado con el proceso contractual, en cual se esta trabajando para contratar dicho proceso.</t>
  </si>
  <si>
    <t>Durante el mes de ENERO se realizaron las actividades respectivas para publicación del Programa de bienestar e incentivos, se hace referencia que el cronograma está para ser ejecutado con el proceso contractual, en cual se esta trabajando para contratar dicho proceso.</t>
  </si>
  <si>
    <t>Durante el mes de FEBRERO se evaluó una actividad “Evaluación actividad del programa de bienestar social: Primera Jornada Laboral Continua”  que se realizó en dicho mes, la cual da como puntaje final obtuvo un total de 97,92% cumpliendo así con la meta mensual.</t>
  </si>
  <si>
    <t>Durante el mes de MARZO se evaluaron 6 actividades obtuvo un total de 84% de cumplimiento, a continuación, se listan las actividades:
1.	Jornada de atención y servicios del Teatro Nacional: 91%.
2.	Jornada de atención y servicios de Mary Kay en el marco de la conmemoración del Día Internacional de la Mujer: 80%.
3.	Jornada de atención y servicios de CAFAM: 93%.
4.	Capacitación Planeación Financiera en el marco de la Escuela de Desarrollo Personal y Familiar: 67%.
5.	Jornada de atención y servicios de AGROMIEL: 82%.
6.	Jornada de atención y servicios de FAVI: 90%</t>
  </si>
  <si>
    <t>Tasa de calidad de capacitaciones iguales o superiores a 2 horas</t>
  </si>
  <si>
    <t>Durante el mes de ENERO realizaron las siguientes actividades (los porcentajes correspondientes de las actividades son de la evaluación que se les practica a los asistentes frente a la capacitación recibida):
1.	ACUERDOS DE GESTIÓN ENERO CALIFICACIÓN: 96.881%
2.	CONOCIENDO LA ANLA ENERO CALIFICACIÓN: 95.394%
3.	SILA-VITAL-ULISES ENERO CALIFICACIÓN: 92.003%
4.	SIGPRO ENERO CALIFICACIÓN: 93.573%
5.	ACTUALIZACIÓN EN LEGISLACION AMBIENTAL ENERO CALIFICACIÓN: 97.096%
Utilizando la formula del indicador se obtiene un promedio del 94,9894% de calificación (excelente- bueno) del evento cumpliendo con la meta mensual de pasar del 90% de porcentaje positivo en los eventos.</t>
  </si>
  <si>
    <t>Durante el mes de FEBRERO realizaron las siguientes actividades (los porcentajes correspondientes de las actividades son de la evaluación que se les practica a los asistentes frente a la capacitación recibida):
1.	SENSIBILIZACION GESTION DOCUMENTAL ENERO 99,0208333333333%
2.	CONTROL DISCIPLINARIO INTERNO ENERO 95,3303571428572%
3.	CONOCIENDO LA ANLA FEBRERO 98,2447916666667%
4.	SIGPRO FEBRERO 96,9891975308642%
5.	NEGOCIACION COLECTIVA FEBRERO 91,6458333333333%
6.	GESTION DOCUMENTAL FEBRERO 99,0416666666667%
7.	CADENAS PRODUCTIVAS FEBRERO 95,9904513888889%
8.	SECOP II FEBRERO 96,2878787878788%
9.	SILA VITAL ULISES FEBRERO 96,9285714285714%
10.	AGIL FEBRERO 97,8802083333333%
11.	DEFENSA JUDICIAL Y CONCILIACION EN LA ANLA 96,6845238095238%
12.	FORMULACION Y MEDICION DE INDICADORES 93,3%
Utilizando la formula del indicador se obtiene un promedio del 96,45% de calificación (excelente- bueno) del evento cumpliendo con la meta mensual de pasar del 90% de porcentaje positivo en los eventos.
Nota: durante el mes de febrero para el promedio reportado se tuvo en cuenta dos actividades del mes de enero que no se habían reportado.</t>
  </si>
  <si>
    <t>Durante el mes de MARZO realizaron las siguientes actividades (los porcentajes correspondientes de las actividades son de la evaluación que se les practica a los asistentes frente a la capacitación recibida):
AGIL MARZO	96,88%
LA FUNCIÓN ECOLÓGICA DE LA PROPIEDAD Y DE LA EMPRESA MARZO	93,00%
Utilizando la formula del indicador se obtiene un promedio del 94,4% de calificación (excelente- bueno) del evento cumpliendo con la meta mensual de pasar del 90% de porcentaje positivo en los eventos.</t>
  </si>
  <si>
    <t>Disminuir en un 5% el nivel de estrés de funcionarios que puntuaron muy alto en la Batería de Riesgo Psico-social.</t>
  </si>
  <si>
    <t>Resultado de la Batería de riesgo Psicosocial 2019 en la variable \\\"muy alto en estrés” (-) Resultado de la Batería de riesgo Psicosocial en la variable\\\"muy alto en estrés” 2020</t>
  </si>
  <si>
    <t>Acciones para la disminución de la variable\\muy alto en estrés</t>
  </si>
  <si>
    <t>Acciones realizadas para reducir el nivel de estrés en los funcionarios/ Acciones Programadas para reducir el nivel de estrés en los funcionarios</t>
  </si>
  <si>
    <t>En el mes de enero del presente se aplicó la batería  a los funcionarios que no habían contestado en el mes de diciembre de 2019, se realizó la tabulación de 598 baterías, las acciones encaminadas a disminuir en un 5% los funcionarios con nivel  de estrés alto y muy alto se programaran una vez se cuente con el informe diagnóstico de riesgo psicosocial, está programado para el mes de febrero.</t>
  </si>
  <si>
    <t>En la evaluación de factores de riesgo psicosocial realizada en diciembre de 2019  se evaluaron 597  personas de las cuales 141 puntuaron alto y muy alto en el nivel de estrés, es decir el 23% de la población evaluada, el indicador de calidad de vida pretende que se disminuya en un 5% esta población, por lo cual se programaron 65 actividades en el Plan de Trabajo año 2020 de SST con el objetivo de disminuir esta población con estrés alto y muy alto.</t>
  </si>
  <si>
    <t>Durante el mes de FEBRERO se logró un avance del 7,69230769230769% correspondiente a las actividades que a continuación se describen:
A la fecha de hoy hemos realizado 5 actividades 1 de enero y 4 de febrero así:
Enero 
•	Programación y realización de actividades físicas para colaboradores - Hábitos de Vida Saludable: Pausas Activas 65 personas
Febrero 
•	Intervención en promoción y prevención -personal asintomático y riesgo bajo: Cobertura de 219 personas 
•	Intervención población en riesgo medio y alto - Escuela terapéutica Psicosocial: Cobertura de 28 personas en jornada integral de salud 
•	Revisión y Actualización del documento de Programa de Vigilancia Psicosocial
•	Revisión y Actualización del documento de Programa de Prevención de Riesgo Cardiovascular</t>
  </si>
  <si>
    <t>Durante el mes de MARZO se logró un avance del 12,3076923076923% correspondiente a las actividades que a continuación se describen:
1.	Intervención en promoción y prevención -personal asintomático y riesgo bajo - Pausas Activas
2.	Intervención población en riesgo medio y alto - Escuela terapéutica Psicosocial 
3.	Revisión y Actualización del documento de Programa de Vigilancia Psicosocial
4.	Retroalimentación  Individual a trabajadores que puntuaron  niveles  alto y muy alto en la  edición subjetiva de Factores de riesgo psicosocial.
5.	Realizar plan de capacitación 2020 sobre intervención Psicosocial 
6.	Jornadas de manejo de fatiga y carga mental (pausas cognitivas)  
7.	Capacitación  en prevención de riesgo psicosocial 
8.	Realización de envió de comunicados masivos sobre TIPs de prevención de riesgo cardiovascular.</t>
  </si>
  <si>
    <t>Promedio Indicadores de Producto</t>
  </si>
  <si>
    <t>Promedio de avance en metas de gestión</t>
  </si>
  <si>
    <t>No está programado para el mes</t>
  </si>
  <si>
    <t>Promedio de avance en metas de Producto SAF</t>
  </si>
  <si>
    <t>Promedio de avance en metas de gestión SAF</t>
  </si>
  <si>
    <t>Promedio Indicadores de Producto SAF</t>
  </si>
  <si>
    <t>ENERO</t>
  </si>
  <si>
    <t>FEBRERO</t>
  </si>
  <si>
    <t>MARZO</t>
  </si>
  <si>
    <t>Indicadores producto</t>
  </si>
  <si>
    <t>Indicadores de Gestión</t>
  </si>
  <si>
    <t>OAP</t>
  </si>
  <si>
    <t>OAJ</t>
  </si>
  <si>
    <t>TIC</t>
  </si>
  <si>
    <t>Control disciplinario</t>
  </si>
  <si>
    <t>OCI</t>
  </si>
  <si>
    <t>PROMEDIO SAF</t>
  </si>
  <si>
    <t>SMPC</t>
  </si>
  <si>
    <t>PROMEDIO SMPC</t>
  </si>
  <si>
    <t>Geomática</t>
  </si>
  <si>
    <t>PROMEDIO SES</t>
  </si>
  <si>
    <t>SIPTA</t>
  </si>
  <si>
    <t>Permisos y trámites</t>
  </si>
  <si>
    <t>PROMEDIO SIPTA</t>
  </si>
  <si>
    <t>PROMEDIO ENTIDAD</t>
  </si>
  <si>
    <t>* Aquellos indicadores que son constantes (todos los meses deben cumplir la meta propuesta) son normalizados según el tiempo promedio transcurridos, para no inflar el promedio de avance ni de los grupos, ni el de la entidad.</t>
  </si>
  <si>
    <t>Hidrocarburos REGALIAS</t>
  </si>
  <si>
    <t>Porcentaje de solicitudes de licenciamiento ambiental de los sectores hidrocarburos y minería resueltas dentro de tiempos de la normatividad ambiental vigente</t>
  </si>
  <si>
    <t>(Número de actos administrativos de los sectores de hidrocarburos y minería finalizados que resuelven solicitudes de evaluación a licencias ambientales dentro de términos del decreto 1076 / Número de solicitudes de licenciamiento ambiental a atender por los sectores de hidrocarburos y minería con vencimiento de términos) * 100\\n</t>
  </si>
  <si>
    <t>Camilo Alfonso Perez Otero</t>
  </si>
  <si>
    <t>Para el sector hidrocarburos se dio respueta en tèrminos a 3 expedientes de un total de tres a resolver</t>
  </si>
  <si>
    <t>Para el sector hidrocarburos se dio respuesta en tèrminos a 6 expedientes de un total de 6 a resolver. De estos tres corresponden a solicitud de nueva LA y los otros tres a modificación de LA existente</t>
  </si>
  <si>
    <t>Para el sector hidrocarburos se dio respuesta en tèrminos a 9 expedientes de un total de 9 a resolver. De estos 5 corresponden a solicitud de nueva LA y los otros 4 a modificación de LA existente</t>
  </si>
  <si>
    <t>Actos administrativos expedidos para resolver el seguimiento a proyectos licenciados</t>
  </si>
  <si>
    <t>Número de actos administrativos que acogen el seguimiento realizado a los proyectos licenciados</t>
  </si>
  <si>
    <t>En enero no se programaron visitas dado que no se habían incorporado las ternas completas. Se realizó la planeación trimestral de los proyectos sujetos a seguimiento. Se asignaron 40 expedientes para el primer trimestre.</t>
  </si>
  <si>
    <t>Se realizaron 19 visistas de seguimiento cuyos Conceptos Técnicos se encuentran en ejecución.  Se cuenta con un (1) CT numerado tipo documental</t>
  </si>
  <si>
    <t>En el primer trimestre del año se hizo énfasis en las visitas de campo para u total de 27, de estas, se han numerado 11 conceptos técnicos, de los cuáles 1 avanzó hasta la expedición del Acto Administrativo de Seguimiento</t>
  </si>
  <si>
    <t>Porcentaje de acciones de presencia institucional en región (APIR) desarrolladas por ANLA</t>
  </si>
  <si>
    <t>(Número de APIR desarrolladas/ número APIR programadas)* 100</t>
  </si>
  <si>
    <t>Se realizó seguimiento a contingencia de escape de gas en pozo en abandono (MKMS Cruzsur) en el departamento de La Guajira. En enero no se habían vinculado los Inspectores Regionales en los departamentos de vocación productora de hidrocarburos</t>
  </si>
  <si>
    <t>Se realizò un total de 27 acciones de presencia institucional en el territorio, de un total de 19 programadas concentradas en los departamentos de Meta y Caquetá</t>
  </si>
  <si>
    <t>Se realizò un total de 49 acciones de presencia institucional en el territorio, de un total de 74 programadas concentradas en los departamentos de Meta y Caquetá. Las restricciones al desplazamiento intermunicipal dificultó el desarrollo de acciones ya programadas.</t>
  </si>
  <si>
    <t>Minería regalias</t>
  </si>
  <si>
    <t>Para el sector minería se dio se dio respuesta en términos a 3 expedientes de un total de tres a resolver. Todos corresponden a solicitud de modificación a LA</t>
  </si>
  <si>
    <t>Para el sector minería se dio se dio respuesta en términos a 5 expedientes de un total de 5 a resolver. De estos, 3 corresponden a solicitud de modificación a LA y 2 nuevas solicitudes de LA</t>
  </si>
  <si>
    <t>En enero no se programaron visitas de seguimiento dado que no se habían incorporado las ternas completas. Se realizó la planeación de los proyectos sujetos a seguimiento. Con el personal vinculado en enero se avanzó en conceptos técnicos</t>
  </si>
  <si>
    <t>Durante el mes de febrero y primera semana de marzo se planeó la realización de visitas para la elaboración de los Conceptos técnicos. Se expidieron tres actos administrativos de seguimiento de igual número de conceptos técnicos </t>
  </si>
  <si>
    <t>Al periodo de corte se realizaron 10 visitas de seguimiento, con 3 conceptos finalizados e igual número de actos admnistrativos finalizados</t>
  </si>
  <si>
    <t>El 23 de enero se vinculó un Inspector regional para el departamento de La Guajira. Durante el periodo realizó los contactos con las nuevas administraciones municipales y departamental. Actualizó los formatos y presentaciones de conflictividad en territorio y pedagogia institucional</t>
  </si>
  <si>
    <t>Se realizó un total de 23 acciones de un total de 19 programadas. Estas se concentraron en el departamento de La Guajira</t>
  </si>
  <si>
    <t>En el primer trimestre se ejecutaron 28 acciones de presencia institucional de un total de 32 programadas. Estas se desarrollaron 19 en La Guajira y 9 en Antioquia.</t>
  </si>
  <si>
    <t>RASP regalias</t>
  </si>
  <si>
    <t>Durante el mes de enero, el equipo contratado con recursos de regalías resolvió dos solicitudes de giro ordinario en términos, una asociada al sector minería y otra al sector hidrocarburos. Además se dio respuesta a un informe de cambio menosasociado al sector idrocarburos, para un total de tres respuestas CMGO en términos</t>
  </si>
  <si>
    <t>El equipo contratado con recursos de regalías resolvió 9 solicitudes de pronunciamientos en términos de un total de nueve (9). De estos, siete (7) corresponden a Cambio Menor y dos (2) GO. Por sectores, ocho (8) pertenecen a HC y uno a Minería.</t>
  </si>
  <si>
    <t>El equipo contratado con recursos de regalías resolvió 20 solicitudes de pronunciamientos en términos de un total de nueve 20. De estos, 17 corresponden a Cambio Menor y 3 GO. Por sectores, 17 pertenecen a HC y 3 a Minería.</t>
  </si>
  <si>
    <t>Compensación y 1% regalias</t>
  </si>
  <si>
    <t>Porcentaje de Actos administrativos de seguimiento a obligaciones del 1% y compensaciones en los sectores Hidrocarburos y Minería</t>
  </si>
  <si>
    <t>(Número de Actos administrativos de respuesta al seguimiento de obligaciones de 1% y compensaciones de los sectores Hidrocarburos y minería / Total proyectos activos que contemplan la obligación de 1% y compensaciones en los sectores hidrocarburos y minería )*100</t>
  </si>
  <si>
    <t>Se numeraron 26 Actos Administrativos de acogimiento de igual número de conceptos técnicos</t>
  </si>
  <si>
    <t>Se numeraron 69 Actos Administrativos de acogimiento de 104 Conceptos Técnicos numerados. Estos representan la viabilidad de proyectos de inversión por 56,017 millones de pesos. El 100% de la meta corresponden a 747 AA, luego, el 55% asciende a 410 AA</t>
  </si>
  <si>
    <t>Se numeraron 128 Actos Administrativos de acogimiento de 162 Conceptos Técnicos numerados. Estos representan la viabilidad de proyectos de inversión por 59,704 millones de pesos viabilizados por el equipo de profesionales finacieros. El 100% de la meta corresponden a 747 AA, luego, el 55% asciende a 410 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</si>
</sst>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 #,##0;[Red]\-&quot;$&quot;\ #,##0"/>
    <numFmt numFmtId="42" formatCode="_-&quot;$&quot;\ * #,##0_-;\-&quot;$&quot;\ * #,##0_-;_-&quot;$&quot;\ * &quot;-&quot;_-;_-@_-"/>
    <numFmt numFmtId="41" formatCode="_-* #,##0_-;\-* #,##0_-;_-* &quot;-&quot;_-;_-@_-"/>
    <numFmt numFmtId="44" formatCode="_-&quot;$&quot;\ * #,##0.00_-;\-&quot;$&quot;\ * #,##0.00_-;_-&quot;$&quot;\ * &quot;-&quot;??_-;_-@_-"/>
    <numFmt numFmtId="164" formatCode="_(&quot;$&quot;\ * #,##0.00_);_(&quot;$&quot;\ * \(#,##0.00\);_(&quot;$&quot;\ * &quot;-&quot;??_);_(@_)"/>
    <numFmt numFmtId="165" formatCode="_(&quot;$&quot;\ * #,##0_);_(&quot;$&quot;\ * \(#,##0\);_(&quot;$&quot;\ * &quot;-&quot;??_);_(@_)"/>
    <numFmt numFmtId="166" formatCode="0.0%"/>
    <numFmt numFmtId="167" formatCode="_-&quot;$&quot;* #,##0_-;\-&quot;$&quot;* #,##0_-;_-&quot;$&quot;* &quot;-&quot;_-;_-@_-"/>
    <numFmt numFmtId="168" formatCode="_(* #,##0_);_(* \(#,##0\);_(* &quot;-&quot;_);_(@_)"/>
    <numFmt numFmtId="169" formatCode="0.000%"/>
    <numFmt numFmtId="170" formatCode="_-[$$-240A]* #,##0.00_-;\-[$$-240A]* #,##0.00_-;_-[$$-240A]* &quot;-&quot;??_-;_-@_-"/>
    <numFmt numFmtId="171" formatCode="_-&quot;$&quot;\ * #,##0_-;\-&quot;$&quot;\ * #,##0_-;_-&quot;$&quot;\ * &quot;-&quot;??_-;_-@_-"/>
    <numFmt numFmtId="172" formatCode="0.0"/>
  </numFmts>
  <fonts count="23"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9"/>
      <color theme="1"/>
      <name val="Calibri"/>
      <family val="2"/>
      <scheme val="minor"/>
    </font>
    <font>
      <b/>
      <sz val="24"/>
      <color theme="1"/>
      <name val="Arial Narrow"/>
      <family val="2"/>
    </font>
    <font>
      <sz val="12"/>
      <color theme="1"/>
      <name val="Arial Narrow"/>
      <family val="2"/>
    </font>
    <font>
      <sz val="9"/>
      <name val="Calibri"/>
      <family val="2"/>
      <scheme val="minor"/>
    </font>
    <font>
      <b/>
      <sz val="14"/>
      <color theme="1"/>
      <name val="Calibri"/>
      <family val="2"/>
      <scheme val="minor"/>
    </font>
    <font>
      <b/>
      <sz val="12"/>
      <color theme="1"/>
      <name val="Arial Narrow"/>
      <family val="2"/>
    </font>
    <font>
      <b/>
      <sz val="14"/>
      <name val="Calibri"/>
      <family val="2"/>
      <scheme val="minor"/>
    </font>
    <font>
      <b/>
      <sz val="12"/>
      <name val="Arial Narrow"/>
      <family val="2"/>
    </font>
    <font>
      <sz val="9"/>
      <color theme="0"/>
      <name val="Calibri"/>
      <family val="2"/>
      <scheme val="minor"/>
    </font>
    <font>
      <b/>
      <sz val="9"/>
      <color theme="1"/>
      <name val="Calibri"/>
      <family val="2"/>
      <scheme val="minor"/>
    </font>
    <font>
      <sz val="9"/>
      <color theme="9" tint="-0.499984740745262"/>
      <name val="Calibri"/>
      <family val="2"/>
      <scheme val="minor"/>
    </font>
    <font>
      <sz val="10"/>
      <color theme="1"/>
      <name val="Calibri"/>
      <family val="2"/>
      <scheme val="minor"/>
    </font>
    <font>
      <sz val="10"/>
      <name val="Calibri"/>
      <family val="2"/>
      <scheme val="minor"/>
    </font>
    <font>
      <sz val="10"/>
      <color rgb="FFFF0000"/>
      <name val="Calibri"/>
      <family val="2"/>
      <scheme val="minor"/>
    </font>
    <font>
      <sz val="11"/>
      <name val="Calibri"/>
      <family val="2"/>
      <scheme val="minor"/>
    </font>
    <font>
      <sz val="10"/>
      <color theme="0"/>
      <name val="Calibri"/>
      <family val="2"/>
      <scheme val="minor"/>
    </font>
    <font>
      <b/>
      <sz val="11"/>
      <color rgb="FF000000"/>
      <name val="Calibri"/>
      <family val="2"/>
      <scheme val="minor"/>
    </font>
    <font>
      <sz val="11"/>
      <color rgb="FF000000"/>
      <name val="Calibri"/>
      <family val="2"/>
      <scheme val="minor"/>
    </font>
    <font>
      <b/>
      <sz val="12"/>
      <color theme="0"/>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2" tint="-0.499984740745262"/>
        <bgColor indexed="64"/>
      </patternFill>
    </fill>
    <fill>
      <patternFill patternType="solid">
        <fgColor theme="8" tint="0.79998168889431442"/>
        <bgColor indexed="64"/>
      </patternFill>
    </fill>
    <fill>
      <patternFill patternType="solid">
        <fgColor theme="9" tint="-0.499984740745262"/>
        <bgColor rgb="FF000000"/>
      </patternFill>
    </fill>
    <fill>
      <patternFill patternType="solid">
        <fgColor theme="0" tint="-0.499984740745262"/>
        <bgColor indexed="64"/>
      </patternFill>
    </fill>
    <fill>
      <patternFill patternType="solid">
        <fgColor rgb="FFA9D08E"/>
        <bgColor rgb="FF000000"/>
      </patternFill>
    </fill>
    <fill>
      <patternFill patternType="solid">
        <fgColor rgb="FFFFFFFF"/>
        <bgColor rgb="FF000000"/>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theme="2"/>
      </left>
      <right/>
      <top/>
      <bottom style="thin">
        <color theme="2"/>
      </bottom>
      <diagonal/>
    </border>
    <border>
      <left/>
      <right/>
      <top/>
      <bottom style="thin">
        <color theme="2"/>
      </bottom>
      <diagonal/>
    </border>
    <border>
      <left/>
      <right style="thin">
        <color theme="2"/>
      </right>
      <top/>
      <bottom style="thin">
        <color theme="2"/>
      </bottom>
      <diagonal/>
    </border>
    <border>
      <left style="thin">
        <color theme="2"/>
      </left>
      <right/>
      <top/>
      <bottom/>
      <diagonal/>
    </border>
    <border>
      <left/>
      <right style="thin">
        <color theme="2"/>
      </right>
      <top/>
      <bottom/>
      <diagonal/>
    </border>
    <border>
      <left style="thin">
        <color theme="2"/>
      </left>
      <right style="thin">
        <color theme="2"/>
      </right>
      <top/>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2"/>
      </left>
      <right style="thin">
        <color theme="2"/>
      </right>
      <top/>
      <bottom style="thin">
        <color theme="2"/>
      </bottom>
      <diagonal/>
    </border>
    <border>
      <left/>
      <right style="thin">
        <color indexed="64"/>
      </right>
      <top style="thin">
        <color theme="2"/>
      </top>
      <bottom style="thin">
        <color theme="2"/>
      </bottom>
      <diagonal/>
    </border>
    <border>
      <left style="thin">
        <color indexed="64"/>
      </left>
      <right/>
      <top style="thin">
        <color theme="2"/>
      </top>
      <bottom style="thin">
        <color theme="2"/>
      </bottom>
      <diagonal/>
    </border>
    <border>
      <left style="thin">
        <color theme="2"/>
      </left>
      <right style="thin">
        <color theme="2"/>
      </right>
      <top style="thin">
        <color theme="2"/>
      </top>
      <bottom style="thin">
        <color theme="2"/>
      </bottom>
      <diagonal/>
    </border>
    <border>
      <left/>
      <right/>
      <top style="thin">
        <color theme="2"/>
      </top>
      <bottom/>
      <diagonal/>
    </border>
    <border>
      <left style="thin">
        <color theme="9" tint="0.79998168889431442"/>
      </left>
      <right style="thin">
        <color theme="9" tint="0.39997558519241921"/>
      </right>
      <top style="thin">
        <color theme="9" tint="0.39997558519241921"/>
      </top>
      <bottom/>
      <diagonal/>
    </border>
    <border>
      <left style="thin">
        <color theme="9" tint="0.39997558519241921"/>
      </left>
      <right style="thin">
        <color theme="9" tint="0.39997558519241921"/>
      </right>
      <top style="thin">
        <color theme="9" tint="0.39997558519241921"/>
      </top>
      <bottom/>
      <diagonal/>
    </border>
    <border>
      <left style="thin">
        <color theme="9" tint="0.79998168889431442"/>
      </left>
      <right style="thin">
        <color theme="9" tint="0.79998168889431442"/>
      </right>
      <top style="thin">
        <color theme="9" tint="0.79998168889431442"/>
      </top>
      <bottom style="thin">
        <color theme="9" tint="0.79998168889431442"/>
      </bottom>
      <diagonal/>
    </border>
    <border>
      <left style="thin">
        <color theme="9" tint="0.79998168889431442"/>
      </left>
      <right/>
      <top style="thin">
        <color theme="9" tint="0.79998168889431442"/>
      </top>
      <bottom style="thin">
        <color theme="9" tint="0.79998168889431442"/>
      </bottom>
      <diagonal/>
    </border>
    <border>
      <left/>
      <right/>
      <top style="thin">
        <color theme="9" tint="0.79998168889431442"/>
      </top>
      <bottom style="thin">
        <color theme="9" tint="0.79998168889431442"/>
      </bottom>
      <diagonal/>
    </border>
    <border>
      <left style="thin">
        <color theme="9" tint="0.79995117038483843"/>
      </left>
      <right style="thin">
        <color theme="9" tint="0.79995117038483843"/>
      </right>
      <top style="thin">
        <color theme="9" tint="0.79995117038483843"/>
      </top>
      <bottom/>
      <diagonal/>
    </border>
    <border>
      <left style="thin">
        <color theme="9" tint="0.79995117038483843"/>
      </left>
      <right/>
      <top style="thin">
        <color theme="9" tint="0.79995117038483843"/>
      </top>
      <bottom/>
      <diagonal/>
    </border>
    <border>
      <left style="thin">
        <color theme="9" tint="0.79998168889431442"/>
      </left>
      <right style="thin">
        <color theme="9" tint="0.39997558519241921"/>
      </right>
      <top/>
      <bottom style="thin">
        <color theme="9" tint="0.79998168889431442"/>
      </bottom>
      <diagonal/>
    </border>
    <border>
      <left style="thin">
        <color theme="9" tint="0.39997558519241921"/>
      </left>
      <right style="thin">
        <color theme="9" tint="0.39997558519241921"/>
      </right>
      <top/>
      <bottom style="thin">
        <color theme="9" tint="0.79998168889431442"/>
      </bottom>
      <diagonal/>
    </border>
    <border>
      <left style="thin">
        <color theme="9" tint="0.39997558519241921"/>
      </left>
      <right style="thin">
        <color theme="9" tint="0.39997558519241921"/>
      </right>
      <top/>
      <bottom style="thin">
        <color theme="9" tint="0.39997558519241921"/>
      </bottom>
      <diagonal/>
    </border>
    <border>
      <left style="thin">
        <color theme="9" tint="0.39997558519241921"/>
      </left>
      <right/>
      <top/>
      <bottom/>
      <diagonal/>
    </border>
    <border>
      <left style="thin">
        <color theme="9" tint="0.79995117038483843"/>
      </left>
      <right style="thin">
        <color theme="9" tint="0.79995117038483843"/>
      </right>
      <top/>
      <bottom style="thin">
        <color theme="9" tint="0.79995117038483843"/>
      </bottom>
      <diagonal/>
    </border>
    <border>
      <left style="thin">
        <color theme="9" tint="0.79995117038483843"/>
      </left>
      <right/>
      <top/>
      <bottom style="thin">
        <color theme="9" tint="0.79995117038483843"/>
      </bottom>
      <diagonal/>
    </border>
    <border>
      <left style="thin">
        <color theme="9" tint="0.39997558519241921"/>
      </left>
      <right style="thin">
        <color theme="9" tint="0.39997558519241921"/>
      </right>
      <top/>
      <bottom/>
      <diagonal/>
    </border>
    <border>
      <left/>
      <right style="thin">
        <color theme="9" tint="0.39997558519241921"/>
      </right>
      <top style="thin">
        <color theme="9" tint="0.39997558519241921"/>
      </top>
      <bottom style="thin">
        <color theme="9" tint="0.39997558519241921"/>
      </bottom>
      <diagonal/>
    </border>
    <border>
      <left style="thin">
        <color theme="9" tint="0.39997558519241921"/>
      </left>
      <right style="thin">
        <color theme="9" tint="0.39997558519241921"/>
      </right>
      <top style="thin">
        <color theme="9" tint="0.39997558519241921"/>
      </top>
      <bottom style="thin">
        <color theme="9" tint="0.39997558519241921"/>
      </bottom>
      <diagonal/>
    </border>
    <border>
      <left style="thin">
        <color theme="9" tint="0.39997558519241921"/>
      </left>
      <right/>
      <top style="thin">
        <color theme="9" tint="0.39997558519241921"/>
      </top>
      <bottom style="thin">
        <color theme="9" tint="0.39997558519241921"/>
      </bottom>
      <diagonal/>
    </border>
    <border>
      <left/>
      <right style="thin">
        <color theme="9" tint="0.79998168889431442"/>
      </right>
      <top style="thin">
        <color theme="9" tint="0.79998168889431442"/>
      </top>
      <bottom style="thin">
        <color theme="9" tint="0.79998168889431442"/>
      </bottom>
      <diagonal/>
    </border>
    <border>
      <left style="thin">
        <color theme="9" tint="0.79998168889431442"/>
      </left>
      <right style="thin">
        <color theme="9" tint="0.79998168889431442"/>
      </right>
      <top/>
      <bottom style="thin">
        <color theme="9" tint="0.79998168889431442"/>
      </bottom>
      <diagonal/>
    </border>
    <border>
      <left style="thin">
        <color theme="9" tint="0.79992065187536243"/>
      </left>
      <right/>
      <top style="thin">
        <color theme="9" tint="0.79998168889431442"/>
      </top>
      <bottom/>
      <diagonal/>
    </border>
    <border>
      <left style="thin">
        <color theme="9"/>
      </left>
      <right/>
      <top style="thin">
        <color theme="9" tint="0.79998168889431442"/>
      </top>
      <bottom/>
      <diagonal/>
    </border>
    <border>
      <left style="thin">
        <color theme="9" tint="0.79992065187536243"/>
      </left>
      <right/>
      <top/>
      <bottom/>
      <diagonal/>
    </border>
    <border>
      <left style="thin">
        <color theme="9"/>
      </left>
      <right/>
      <top/>
      <bottom/>
      <diagonal/>
    </border>
    <border>
      <left style="thin">
        <color theme="9" tint="0.39997558519241921"/>
      </left>
      <right/>
      <top/>
      <bottom style="thin">
        <color theme="9" tint="0.39997558519241921"/>
      </bottom>
      <diagonal/>
    </border>
    <border>
      <left/>
      <right/>
      <top/>
      <bottom style="thin">
        <color theme="9" tint="0.39997558519241921"/>
      </bottom>
      <diagonal/>
    </border>
    <border>
      <left style="thin">
        <color theme="9" tint="0.79992065187536243"/>
      </left>
      <right/>
      <top/>
      <bottom style="thin">
        <color theme="9" tint="0.39997558519241921"/>
      </bottom>
      <diagonal/>
    </border>
    <border>
      <left style="thin">
        <color theme="9"/>
      </left>
      <right/>
      <top/>
      <bottom style="thin">
        <color theme="9" tint="0.39997558519241921"/>
      </bottom>
      <diagonal/>
    </border>
    <border>
      <left style="thin">
        <color theme="2"/>
      </left>
      <right/>
      <top style="thin">
        <color theme="2"/>
      </top>
      <bottom/>
      <diagonal/>
    </border>
    <border>
      <left style="thin">
        <color theme="9" tint="0.79998168889431442"/>
      </left>
      <right/>
      <top style="thin">
        <color theme="9" tint="0.39997558519241921"/>
      </top>
      <bottom/>
      <diagonal/>
    </border>
    <border>
      <left style="thin">
        <color theme="9"/>
      </left>
      <right style="thin">
        <color theme="9"/>
      </right>
      <top style="thin">
        <color theme="9"/>
      </top>
      <bottom style="thin">
        <color theme="9"/>
      </bottom>
      <diagonal/>
    </border>
    <border>
      <left style="thin">
        <color theme="9" tint="0.79998168889431442"/>
      </left>
      <right/>
      <top/>
      <bottom style="thin">
        <color theme="9" tint="0.79998168889431442"/>
      </bottom>
      <diagonal/>
    </border>
    <border>
      <left style="thin">
        <color theme="9" tint="0.79998168889431442"/>
      </left>
      <right style="thin">
        <color theme="9" tint="0.79998168889431442"/>
      </right>
      <top style="thin">
        <color theme="9" tint="0.79998168889431442"/>
      </top>
      <bottom/>
      <diagonal/>
    </border>
    <border>
      <left style="thin">
        <color theme="9" tint="0.79998168889431442"/>
      </left>
      <right/>
      <top style="thin">
        <color theme="9" tint="0.79998168889431442"/>
      </top>
      <bottom/>
      <diagonal/>
    </border>
    <border>
      <left style="thin">
        <color theme="9" tint="0.79998168889431442"/>
      </left>
      <right style="thin">
        <color theme="9" tint="0.39997558519241921"/>
      </right>
      <top/>
      <bottom/>
      <diagonal/>
    </border>
    <border>
      <left style="thin">
        <color theme="9" tint="0.79998168889431442"/>
      </left>
      <right/>
      <top/>
      <bottom/>
      <diagonal/>
    </border>
    <border>
      <left style="thin">
        <color theme="9"/>
      </left>
      <right/>
      <top style="thin">
        <color theme="9"/>
      </top>
      <bottom style="thin">
        <color theme="9"/>
      </bottom>
      <diagonal/>
    </border>
    <border>
      <left/>
      <right/>
      <top style="thin">
        <color theme="9"/>
      </top>
      <bottom style="thin">
        <color theme="9"/>
      </bottom>
      <diagonal/>
    </border>
    <border>
      <left/>
      <right style="thin">
        <color theme="9"/>
      </right>
      <top style="thin">
        <color theme="9"/>
      </top>
      <bottom style="thin">
        <color theme="9"/>
      </bottom>
      <diagonal/>
    </border>
    <border>
      <left style="thin">
        <color theme="9" tint="0.39997558519241921"/>
      </left>
      <right/>
      <top/>
      <bottom style="thin">
        <color theme="2"/>
      </bottom>
      <diagonal/>
    </border>
    <border>
      <left/>
      <right style="thin">
        <color theme="2"/>
      </right>
      <top style="thin">
        <color theme="2"/>
      </top>
      <bottom/>
      <diagonal/>
    </border>
    <border>
      <left style="thin">
        <color rgb="FF70AD47"/>
      </left>
      <right style="thin">
        <color rgb="FF70AD47"/>
      </right>
      <top style="thin">
        <color rgb="FF70AD47"/>
      </top>
      <bottom style="thin">
        <color rgb="FF70AD47"/>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theme="2"/>
      </bottom>
      <diagonal/>
    </border>
    <border>
      <left/>
      <right/>
      <top style="medium">
        <color indexed="64"/>
      </top>
      <bottom style="thin">
        <color theme="2"/>
      </bottom>
      <diagonal/>
    </border>
    <border>
      <left/>
      <right style="medium">
        <color indexed="64"/>
      </right>
      <top style="medium">
        <color indexed="64"/>
      </top>
      <bottom style="thin">
        <color theme="2"/>
      </bottom>
      <diagonal/>
    </border>
    <border>
      <left style="medium">
        <color indexed="64"/>
      </left>
      <right/>
      <top style="thin">
        <color theme="2"/>
      </top>
      <bottom style="thin">
        <color theme="2"/>
      </bottom>
      <diagonal/>
    </border>
    <border>
      <left/>
      <right style="medium">
        <color indexed="64"/>
      </right>
      <top style="thin">
        <color theme="2"/>
      </top>
      <bottom style="thin">
        <color theme="2"/>
      </bottom>
      <diagonal/>
    </border>
    <border>
      <left style="medium">
        <color indexed="64"/>
      </left>
      <right style="thin">
        <color theme="2"/>
      </right>
      <top style="thin">
        <color theme="2"/>
      </top>
      <bottom style="thin">
        <color theme="2"/>
      </bottom>
      <diagonal/>
    </border>
    <border>
      <left style="thin">
        <color theme="2"/>
      </left>
      <right style="medium">
        <color indexed="64"/>
      </right>
      <top style="thin">
        <color theme="2"/>
      </top>
      <bottom style="thin">
        <color theme="2"/>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theme="9"/>
      </left>
      <right style="thin">
        <color theme="9"/>
      </right>
      <top style="thin">
        <color theme="9"/>
      </top>
      <bottom/>
      <diagonal/>
    </border>
    <border>
      <left style="thin">
        <color theme="9"/>
      </left>
      <right style="thin">
        <color theme="9"/>
      </right>
      <top/>
      <bottom/>
      <diagonal/>
    </border>
    <border>
      <left style="thin">
        <color theme="9"/>
      </left>
      <right style="thin">
        <color theme="9"/>
      </right>
      <top/>
      <bottom style="thin">
        <color theme="9"/>
      </bottom>
      <diagonal/>
    </border>
    <border>
      <left style="thin">
        <color theme="9" tint="0.79998168889431442"/>
      </left>
      <right style="thin">
        <color theme="9" tint="0.79998168889431442"/>
      </right>
      <top/>
      <bottom/>
      <diagonal/>
    </border>
    <border>
      <left style="thin">
        <color theme="9"/>
      </left>
      <right style="thin">
        <color theme="9"/>
      </right>
      <top/>
      <bottom style="thin">
        <color indexed="64"/>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style="thin">
        <color indexed="64"/>
      </top>
      <bottom style="thin">
        <color indexed="64"/>
      </bottom>
      <diagonal/>
    </border>
    <border>
      <left style="dotted">
        <color auto="1"/>
      </left>
      <right style="thin">
        <color auto="1"/>
      </right>
      <top style="thin">
        <color indexed="64"/>
      </top>
      <bottom style="thin">
        <color indexed="64"/>
      </bottom>
      <diagonal/>
    </border>
    <border>
      <left style="thin">
        <color auto="1"/>
      </left>
      <right/>
      <top/>
      <bottom style="dotted">
        <color auto="1"/>
      </bottom>
      <diagonal/>
    </border>
    <border>
      <left style="thin">
        <color auto="1"/>
      </left>
      <right style="dotted">
        <color auto="1"/>
      </right>
      <top/>
      <bottom style="dotted">
        <color auto="1"/>
      </bottom>
      <diagonal/>
    </border>
    <border>
      <left style="dotted">
        <color auto="1"/>
      </left>
      <right style="thin">
        <color auto="1"/>
      </right>
      <top/>
      <bottom style="dotted">
        <color auto="1"/>
      </bottom>
      <diagonal/>
    </border>
    <border>
      <left style="thin">
        <color auto="1"/>
      </left>
      <right/>
      <top style="dotted">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thin">
        <color auto="1"/>
      </right>
      <top style="dotted">
        <color auto="1"/>
      </top>
      <bottom/>
      <diagonal/>
    </border>
    <border>
      <left style="dotted">
        <color auto="1"/>
      </left>
      <right style="thin">
        <color auto="1"/>
      </right>
      <top style="dotted">
        <color auto="1"/>
      </top>
      <bottom/>
      <diagonal/>
    </border>
    <border>
      <left style="thin">
        <color auto="1"/>
      </left>
      <right style="thin">
        <color auto="1"/>
      </right>
      <top/>
      <bottom style="dotted">
        <color auto="1"/>
      </bottom>
      <diagonal/>
    </border>
    <border>
      <left/>
      <right style="thin">
        <color indexed="64"/>
      </right>
      <top style="dotted">
        <color auto="1"/>
      </top>
      <bottom/>
      <diagonal/>
    </border>
    <border>
      <left style="thin">
        <color auto="1"/>
      </left>
      <right/>
      <top style="dotted">
        <color auto="1"/>
      </top>
      <bottom/>
      <diagonal/>
    </border>
    <border>
      <left/>
      <right style="thin">
        <color indexed="64"/>
      </right>
      <top/>
      <bottom style="dotted">
        <color auto="1"/>
      </bottom>
      <diagonal/>
    </border>
    <border>
      <left style="thin">
        <color auto="1"/>
      </left>
      <right style="dotted">
        <color auto="1"/>
      </right>
      <top style="dotted">
        <color auto="1"/>
      </top>
      <bottom/>
      <diagonal/>
    </border>
    <border>
      <left style="thin">
        <color auto="1"/>
      </left>
      <right style="dotted">
        <color auto="1"/>
      </right>
      <top/>
      <bottom/>
      <diagonal/>
    </border>
    <border>
      <left style="dotted">
        <color auto="1"/>
      </left>
      <right style="thin">
        <color auto="1"/>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theme="9" tint="0.39997558519241921"/>
      </left>
      <right style="thin">
        <color theme="9" tint="0.39997558519241921"/>
      </right>
      <top/>
      <bottom style="thin">
        <color theme="2"/>
      </bottom>
      <diagonal/>
    </border>
  </borders>
  <cellStyleXfs count="9">
    <xf numFmtId="0" fontId="0" fillId="0" borderId="0"/>
    <xf numFmtId="41" fontId="1" fillId="0" borderId="0" applyFont="0" applyFill="0" applyBorder="0" applyAlignment="0" applyProtection="0"/>
    <xf numFmtId="16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42" fontId="1" fillId="0" borderId="0" applyFont="0" applyFill="0" applyBorder="0" applyAlignment="0" applyProtection="0"/>
  </cellStyleXfs>
  <cellXfs count="687">
    <xf numFmtId="0" fontId="0" fillId="0" borderId="0" xfId="0"/>
    <xf numFmtId="0" fontId="4" fillId="2" borderId="0" xfId="0" applyFont="1" applyFill="1" applyAlignment="1">
      <alignment horizontal="center" vertical="center"/>
    </xf>
    <xf numFmtId="0" fontId="6" fillId="2" borderId="0" xfId="0" applyFont="1" applyFill="1" applyAlignment="1">
      <alignment horizontal="center" vertical="center"/>
    </xf>
    <xf numFmtId="14" fontId="6" fillId="2" borderId="0" xfId="0" applyNumberFormat="1" applyFont="1" applyFill="1" applyAlignment="1">
      <alignment horizontal="center" vertical="center"/>
    </xf>
    <xf numFmtId="0" fontId="6" fillId="2" borderId="1" xfId="0" applyFont="1" applyFill="1" applyBorder="1" applyAlignment="1">
      <alignment horizontal="center" vertical="center"/>
    </xf>
    <xf numFmtId="14" fontId="6" fillId="2" borderId="1" xfId="0" applyNumberFormat="1" applyFont="1" applyFill="1" applyBorder="1" applyAlignment="1">
      <alignment horizontal="center" vertical="center"/>
    </xf>
    <xf numFmtId="0" fontId="2" fillId="2" borderId="0" xfId="0" applyFont="1" applyFill="1" applyAlignment="1">
      <alignment horizontal="center" vertical="center"/>
    </xf>
    <xf numFmtId="0" fontId="2" fillId="5" borderId="0" xfId="0" applyFont="1" applyFill="1" applyAlignment="1">
      <alignment horizontal="center" vertical="center"/>
    </xf>
    <xf numFmtId="0" fontId="2" fillId="4" borderId="9" xfId="0" applyFont="1" applyFill="1" applyBorder="1" applyAlignment="1">
      <alignment horizontal="center" vertical="center"/>
    </xf>
    <xf numFmtId="0" fontId="2" fillId="4" borderId="0" xfId="0" applyFont="1" applyFill="1" applyAlignment="1">
      <alignment horizontal="center" vertical="center"/>
    </xf>
    <xf numFmtId="0" fontId="2" fillId="5" borderId="15"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1" xfId="0" applyFont="1" applyFill="1" applyBorder="1" applyAlignment="1">
      <alignment horizontal="center" vertical="center" wrapText="1"/>
    </xf>
    <xf numFmtId="164" fontId="2" fillId="5" borderId="11" xfId="2" applyFont="1" applyFill="1" applyBorder="1" applyAlignment="1">
      <alignment horizontal="center" vertical="center"/>
    </xf>
    <xf numFmtId="0" fontId="4" fillId="7" borderId="19" xfId="0" applyFont="1" applyFill="1" applyBorder="1" applyAlignment="1">
      <alignment vertical="center" wrapText="1"/>
    </xf>
    <xf numFmtId="0" fontId="4" fillId="7" borderId="19" xfId="0" applyFont="1" applyFill="1" applyBorder="1" applyAlignment="1">
      <alignment horizontal="center" vertical="center" wrapText="1"/>
    </xf>
    <xf numFmtId="165" fontId="4" fillId="7" borderId="20" xfId="2" applyNumberFormat="1" applyFont="1" applyFill="1" applyBorder="1" applyAlignment="1">
      <alignment vertical="center" wrapText="1"/>
    </xf>
    <xf numFmtId="0" fontId="4" fillId="7" borderId="21" xfId="0" applyFont="1" applyFill="1" applyBorder="1" applyAlignment="1">
      <alignment horizontal="center" vertical="center" wrapText="1"/>
    </xf>
    <xf numFmtId="9" fontId="4" fillId="7" borderId="19" xfId="4" applyFont="1" applyFill="1" applyBorder="1" applyAlignment="1">
      <alignment horizontal="center" vertical="center" wrapText="1"/>
    </xf>
    <xf numFmtId="0" fontId="7" fillId="7" borderId="19" xfId="0" applyFont="1" applyFill="1" applyBorder="1" applyAlignment="1">
      <alignment horizontal="center" vertical="center" wrapText="1"/>
    </xf>
    <xf numFmtId="9" fontId="7" fillId="7" borderId="19" xfId="4" applyFont="1" applyFill="1" applyBorder="1" applyAlignment="1">
      <alignment horizontal="center" vertical="center" wrapText="1"/>
    </xf>
    <xf numFmtId="0" fontId="4" fillId="2" borderId="0" xfId="0" applyFont="1" applyFill="1" applyAlignment="1">
      <alignment horizontal="left" vertical="center"/>
    </xf>
    <xf numFmtId="0" fontId="4" fillId="7" borderId="0" xfId="0" applyFont="1" applyFill="1" applyAlignment="1">
      <alignment horizontal="left" vertical="center"/>
    </xf>
    <xf numFmtId="0" fontId="4" fillId="6" borderId="26" xfId="0" applyFont="1" applyFill="1" applyBorder="1" applyAlignment="1">
      <alignment vertical="center" wrapText="1"/>
    </xf>
    <xf numFmtId="0" fontId="4" fillId="6" borderId="26" xfId="0" applyFont="1" applyFill="1" applyBorder="1" applyAlignment="1">
      <alignment horizontal="center" vertical="center" wrapText="1"/>
    </xf>
    <xf numFmtId="165" fontId="4" fillId="6" borderId="27" xfId="2" applyNumberFormat="1" applyFont="1" applyFill="1" applyBorder="1" applyAlignment="1">
      <alignment vertical="center" wrapText="1"/>
    </xf>
    <xf numFmtId="0" fontId="4" fillId="6" borderId="0" xfId="0" applyFont="1" applyFill="1" applyAlignment="1">
      <alignment horizontal="center" vertical="center" wrapText="1"/>
    </xf>
    <xf numFmtId="0" fontId="4" fillId="6" borderId="30" xfId="0" applyFont="1" applyFill="1" applyBorder="1" applyAlignment="1">
      <alignment horizontal="center" vertical="center"/>
    </xf>
    <xf numFmtId="9" fontId="4" fillId="6" borderId="30" xfId="4" applyFont="1" applyFill="1" applyBorder="1" applyAlignment="1">
      <alignment horizontal="center" vertical="center"/>
    </xf>
    <xf numFmtId="0" fontId="4" fillId="6" borderId="30" xfId="0" applyFont="1" applyFill="1" applyBorder="1" applyAlignment="1">
      <alignment horizontal="center" vertical="center" wrapText="1"/>
    </xf>
    <xf numFmtId="0" fontId="7" fillId="6" borderId="30" xfId="0" applyFont="1" applyFill="1" applyBorder="1" applyAlignment="1">
      <alignment horizontal="center" vertical="center"/>
    </xf>
    <xf numFmtId="9" fontId="7" fillId="6" borderId="30" xfId="4" applyFont="1" applyFill="1" applyBorder="1" applyAlignment="1">
      <alignment horizontal="center" vertical="center"/>
    </xf>
    <xf numFmtId="0" fontId="7" fillId="6" borderId="30" xfId="0" applyFont="1" applyFill="1" applyBorder="1" applyAlignment="1">
      <alignment horizontal="center" vertical="center" wrapText="1"/>
    </xf>
    <xf numFmtId="0" fontId="4" fillId="6" borderId="0" xfId="0" applyFont="1" applyFill="1" applyAlignment="1">
      <alignment horizontal="left" vertical="center"/>
    </xf>
    <xf numFmtId="9" fontId="4" fillId="7" borderId="19" xfId="0" applyNumberFormat="1" applyFont="1" applyFill="1" applyBorder="1" applyAlignment="1">
      <alignment horizontal="center" vertical="center" wrapText="1"/>
    </xf>
    <xf numFmtId="0" fontId="4" fillId="8" borderId="31" xfId="0" applyFont="1" applyFill="1" applyBorder="1" applyAlignment="1">
      <alignment vertical="center" wrapText="1"/>
    </xf>
    <xf numFmtId="0" fontId="4" fillId="8" borderId="32" xfId="0" applyFont="1" applyFill="1" applyBorder="1" applyAlignment="1">
      <alignment vertical="center" wrapText="1"/>
    </xf>
    <xf numFmtId="0" fontId="4" fillId="8" borderId="32" xfId="0" applyFont="1" applyFill="1" applyBorder="1" applyAlignment="1">
      <alignment horizontal="center" vertical="center" wrapText="1"/>
    </xf>
    <xf numFmtId="0" fontId="4" fillId="8" borderId="33" xfId="0" applyFont="1" applyFill="1" applyBorder="1" applyAlignment="1">
      <alignment vertical="center" wrapText="1"/>
    </xf>
    <xf numFmtId="0" fontId="4" fillId="7" borderId="34" xfId="0" applyFont="1" applyFill="1" applyBorder="1" applyAlignment="1">
      <alignment horizontal="center" vertical="center" wrapText="1"/>
    </xf>
    <xf numFmtId="9" fontId="4" fillId="7" borderId="35" xfId="4" applyFont="1" applyFill="1" applyBorder="1" applyAlignment="1">
      <alignment horizontal="center" vertical="center" wrapText="1"/>
    </xf>
    <xf numFmtId="0" fontId="4" fillId="7" borderId="35" xfId="0" applyFont="1" applyFill="1" applyBorder="1" applyAlignment="1">
      <alignment horizontal="center" vertical="center" wrapText="1"/>
    </xf>
    <xf numFmtId="9" fontId="7" fillId="7" borderId="35" xfId="4" applyFont="1" applyFill="1" applyBorder="1" applyAlignment="1">
      <alignment horizontal="center" vertical="center" wrapText="1"/>
    </xf>
    <xf numFmtId="0" fontId="7" fillId="7" borderId="35" xfId="0" applyFont="1" applyFill="1" applyBorder="1" applyAlignment="1">
      <alignment horizontal="center" vertical="center" wrapText="1"/>
    </xf>
    <xf numFmtId="0" fontId="4" fillId="6" borderId="18" xfId="0" applyFont="1" applyFill="1" applyBorder="1" applyAlignment="1">
      <alignment vertical="center" wrapText="1"/>
    </xf>
    <xf numFmtId="0" fontId="4" fillId="6" borderId="18" xfId="0" applyFont="1" applyFill="1" applyBorder="1" applyAlignment="1">
      <alignment horizontal="center" vertical="center" wrapText="1"/>
    </xf>
    <xf numFmtId="9" fontId="4" fillId="6" borderId="26" xfId="4" applyFont="1" applyFill="1" applyBorder="1" applyAlignment="1">
      <alignment horizontal="center" vertical="center" wrapText="1"/>
    </xf>
    <xf numFmtId="165" fontId="4" fillId="6" borderId="40" xfId="2" applyNumberFormat="1" applyFont="1" applyFill="1" applyBorder="1" applyAlignment="1">
      <alignment vertical="center" wrapText="1"/>
    </xf>
    <xf numFmtId="0" fontId="4" fillId="6" borderId="41" xfId="0" applyFont="1" applyFill="1" applyBorder="1" applyAlignment="1">
      <alignment horizontal="center" vertical="center" wrapText="1"/>
    </xf>
    <xf numFmtId="0" fontId="4" fillId="6" borderId="26" xfId="0" applyFont="1" applyFill="1" applyBorder="1" applyAlignment="1">
      <alignment horizontal="center" vertical="center"/>
    </xf>
    <xf numFmtId="9" fontId="4" fillId="6" borderId="26" xfId="0" applyNumberFormat="1" applyFont="1" applyFill="1" applyBorder="1" applyAlignment="1">
      <alignment horizontal="center" vertical="center"/>
    </xf>
    <xf numFmtId="9" fontId="4" fillId="6" borderId="26" xfId="4" applyFont="1" applyFill="1" applyBorder="1" applyAlignment="1">
      <alignment horizontal="center" vertical="center"/>
    </xf>
    <xf numFmtId="9" fontId="7" fillId="6" borderId="26" xfId="4" applyFont="1" applyFill="1" applyBorder="1" applyAlignment="1">
      <alignment horizontal="center" vertical="center"/>
    </xf>
    <xf numFmtId="9" fontId="7" fillId="6" borderId="26" xfId="0" applyNumberFormat="1" applyFont="1" applyFill="1" applyBorder="1" applyAlignment="1">
      <alignment horizontal="center" vertical="center"/>
    </xf>
    <xf numFmtId="0" fontId="7" fillId="6" borderId="26" xfId="0" applyFont="1" applyFill="1" applyBorder="1" applyAlignment="1">
      <alignment horizontal="center" vertical="center" wrapText="1"/>
    </xf>
    <xf numFmtId="0" fontId="4" fillId="2" borderId="0" xfId="0" applyFont="1" applyFill="1" applyAlignment="1">
      <alignment vertical="center" wrapText="1"/>
    </xf>
    <xf numFmtId="0" fontId="4" fillId="2" borderId="0" xfId="0" applyFont="1" applyFill="1" applyAlignment="1">
      <alignment horizontal="center" vertical="center" wrapText="1"/>
    </xf>
    <xf numFmtId="165" fontId="4" fillId="2" borderId="0" xfId="2" applyNumberFormat="1" applyFont="1" applyFill="1" applyAlignment="1">
      <alignment vertical="center" wrapText="1"/>
    </xf>
    <xf numFmtId="10" fontId="9" fillId="9" borderId="30" xfId="0" applyNumberFormat="1" applyFont="1" applyFill="1" applyBorder="1" applyAlignment="1">
      <alignment horizontal="center" vertical="center" wrapText="1"/>
    </xf>
    <xf numFmtId="0" fontId="4" fillId="2" borderId="30" xfId="0" applyFont="1" applyFill="1" applyBorder="1" applyAlignment="1">
      <alignment horizontal="left" vertical="center" wrapText="1"/>
    </xf>
    <xf numFmtId="10" fontId="9" fillId="9" borderId="26" xfId="0" applyNumberFormat="1" applyFont="1" applyFill="1" applyBorder="1" applyAlignment="1">
      <alignment horizontal="center" vertical="center" wrapText="1"/>
    </xf>
    <xf numFmtId="0" fontId="4" fillId="2" borderId="6" xfId="0" applyFont="1" applyFill="1" applyBorder="1" applyAlignment="1">
      <alignment horizontal="center" vertical="center" wrapText="1"/>
    </xf>
    <xf numFmtId="10" fontId="11" fillId="9" borderId="30" xfId="0" applyNumberFormat="1" applyFont="1" applyFill="1" applyBorder="1" applyAlignment="1">
      <alignment horizontal="center" vertical="center" wrapText="1"/>
    </xf>
    <xf numFmtId="0" fontId="7" fillId="2" borderId="30" xfId="0" applyFont="1" applyFill="1" applyBorder="1" applyAlignment="1">
      <alignment horizontal="left" vertical="center" wrapText="1"/>
    </xf>
    <xf numFmtId="10" fontId="11" fillId="9" borderId="26" xfId="0" applyNumberFormat="1" applyFont="1" applyFill="1" applyBorder="1" applyAlignment="1">
      <alignment horizontal="center" vertical="center" wrapText="1"/>
    </xf>
    <xf numFmtId="0" fontId="7" fillId="2" borderId="6" xfId="0" applyFont="1" applyFill="1" applyBorder="1" applyAlignment="1">
      <alignment horizontal="center" vertical="center" wrapText="1"/>
    </xf>
    <xf numFmtId="0" fontId="4" fillId="6" borderId="46" xfId="0" applyFont="1" applyFill="1" applyBorder="1" applyAlignment="1">
      <alignment vertical="center" wrapText="1"/>
    </xf>
    <xf numFmtId="0" fontId="4" fillId="6" borderId="46" xfId="0" applyFont="1" applyFill="1" applyBorder="1" applyAlignment="1">
      <alignment horizontal="center" vertical="center" wrapText="1"/>
    </xf>
    <xf numFmtId="9" fontId="4" fillId="6" borderId="46" xfId="4" applyFont="1" applyFill="1" applyBorder="1" applyAlignment="1">
      <alignment horizontal="center" vertical="center" wrapText="1"/>
    </xf>
    <xf numFmtId="0" fontId="7" fillId="6" borderId="46" xfId="0" applyFont="1" applyFill="1" applyBorder="1" applyAlignment="1">
      <alignment horizontal="center" vertical="center" wrapText="1"/>
    </xf>
    <xf numFmtId="9" fontId="7" fillId="6" borderId="46" xfId="4" applyFont="1" applyFill="1" applyBorder="1" applyAlignment="1">
      <alignment horizontal="center" vertical="center" wrapText="1"/>
    </xf>
    <xf numFmtId="0" fontId="4" fillId="2" borderId="0" xfId="0" applyFont="1" applyFill="1" applyAlignment="1">
      <alignment horizontal="left" vertical="center" wrapText="1"/>
    </xf>
    <xf numFmtId="0" fontId="4" fillId="6" borderId="0" xfId="0" applyFont="1" applyFill="1" applyAlignment="1">
      <alignment horizontal="left" vertical="center" wrapText="1"/>
    </xf>
    <xf numFmtId="0" fontId="4" fillId="7" borderId="46" xfId="0" applyFont="1" applyFill="1" applyBorder="1" applyAlignment="1">
      <alignment vertical="center" wrapText="1"/>
    </xf>
    <xf numFmtId="0" fontId="4" fillId="7" borderId="46" xfId="0" applyFont="1" applyFill="1" applyBorder="1" applyAlignment="1">
      <alignment horizontal="center" vertical="center" wrapText="1"/>
    </xf>
    <xf numFmtId="0" fontId="4" fillId="7" borderId="16" xfId="0" applyFont="1" applyFill="1" applyBorder="1" applyAlignment="1">
      <alignment horizontal="center" vertical="center" wrapText="1"/>
    </xf>
    <xf numFmtId="9" fontId="4" fillId="7" borderId="46" xfId="4" applyFont="1" applyFill="1" applyBorder="1" applyAlignment="1">
      <alignment horizontal="center" vertical="center" wrapText="1"/>
    </xf>
    <xf numFmtId="0" fontId="7" fillId="7" borderId="46" xfId="0" applyFont="1" applyFill="1" applyBorder="1" applyAlignment="1">
      <alignment horizontal="center" vertical="center" wrapText="1"/>
    </xf>
    <xf numFmtId="9" fontId="7" fillId="7" borderId="46" xfId="4" applyFont="1" applyFill="1" applyBorder="1" applyAlignment="1">
      <alignment horizontal="center" vertical="center" wrapText="1"/>
    </xf>
    <xf numFmtId="0" fontId="4" fillId="7" borderId="0" xfId="0" applyFont="1" applyFill="1" applyAlignment="1">
      <alignment horizontal="left" vertical="center" wrapText="1"/>
    </xf>
    <xf numFmtId="0" fontId="4" fillId="7" borderId="46" xfId="0" applyFont="1" applyFill="1" applyBorder="1" applyAlignment="1">
      <alignment horizontal="center" vertical="center" wrapText="1"/>
    </xf>
    <xf numFmtId="9" fontId="4" fillId="7" borderId="46" xfId="4" applyFont="1" applyFill="1" applyBorder="1" applyAlignment="1">
      <alignment horizontal="center" vertical="center" wrapText="1"/>
    </xf>
    <xf numFmtId="9" fontId="4" fillId="6" borderId="46" xfId="0" applyNumberFormat="1" applyFont="1" applyFill="1" applyBorder="1" applyAlignment="1">
      <alignment horizontal="center" vertical="center" wrapText="1"/>
    </xf>
    <xf numFmtId="9" fontId="4" fillId="6" borderId="46" xfId="0" applyNumberFormat="1" applyFont="1" applyFill="1" applyBorder="1" applyAlignment="1">
      <alignment horizontal="center" vertical="center" wrapText="1"/>
    </xf>
    <xf numFmtId="9" fontId="7" fillId="6" borderId="46" xfId="0" applyNumberFormat="1" applyFont="1" applyFill="1" applyBorder="1" applyAlignment="1">
      <alignment horizontal="center" vertical="center" wrapText="1"/>
    </xf>
    <xf numFmtId="9" fontId="4" fillId="7" borderId="46" xfId="0" applyNumberFormat="1" applyFont="1" applyFill="1" applyBorder="1" applyAlignment="1">
      <alignment horizontal="center" vertical="center" wrapText="1"/>
    </xf>
    <xf numFmtId="9" fontId="7" fillId="7" borderId="46" xfId="0" applyNumberFormat="1" applyFont="1" applyFill="1" applyBorder="1" applyAlignment="1">
      <alignment horizontal="center" vertical="center" wrapText="1"/>
    </xf>
    <xf numFmtId="0" fontId="4" fillId="6" borderId="46" xfId="0" applyFont="1" applyFill="1" applyBorder="1" applyAlignment="1">
      <alignment horizontal="center" vertical="center"/>
    </xf>
    <xf numFmtId="0" fontId="4" fillId="6" borderId="46" xfId="0" applyFont="1" applyFill="1" applyBorder="1" applyAlignment="1">
      <alignment vertical="center"/>
    </xf>
    <xf numFmtId="165" fontId="4" fillId="6" borderId="0" xfId="2" applyNumberFormat="1" applyFont="1" applyFill="1" applyAlignment="1">
      <alignment vertical="center"/>
    </xf>
    <xf numFmtId="9" fontId="4" fillId="6" borderId="46" xfId="4" applyFont="1" applyFill="1" applyBorder="1" applyAlignment="1">
      <alignment horizontal="center" vertical="center"/>
    </xf>
    <xf numFmtId="0" fontId="7" fillId="6" borderId="46" xfId="0" applyFont="1" applyFill="1" applyBorder="1" applyAlignment="1">
      <alignment horizontal="center" vertical="center"/>
    </xf>
    <xf numFmtId="9" fontId="7" fillId="6" borderId="46" xfId="4" applyFont="1" applyFill="1" applyBorder="1" applyAlignment="1">
      <alignment horizontal="center" vertical="center"/>
    </xf>
    <xf numFmtId="165" fontId="4" fillId="7" borderId="16" xfId="2" applyNumberFormat="1" applyFont="1" applyFill="1" applyBorder="1" applyAlignment="1">
      <alignment vertical="center" wrapText="1"/>
    </xf>
    <xf numFmtId="0" fontId="4" fillId="0" borderId="0" xfId="0" applyFont="1" applyAlignment="1">
      <alignment horizontal="left" vertical="center"/>
    </xf>
    <xf numFmtId="164" fontId="4" fillId="2" borderId="0" xfId="2" applyFont="1" applyFill="1" applyAlignment="1">
      <alignment vertical="center" wrapText="1"/>
    </xf>
    <xf numFmtId="0" fontId="4" fillId="6" borderId="27" xfId="0" applyFont="1" applyFill="1" applyBorder="1" applyAlignment="1">
      <alignment horizontal="center" vertical="center" wrapText="1"/>
    </xf>
    <xf numFmtId="165" fontId="4" fillId="6" borderId="46" xfId="2" applyNumberFormat="1" applyFont="1" applyFill="1" applyBorder="1" applyAlignment="1">
      <alignment horizontal="center" vertical="center" wrapText="1"/>
    </xf>
    <xf numFmtId="0" fontId="7" fillId="6" borderId="46" xfId="0" applyFont="1" applyFill="1" applyBorder="1" applyAlignment="1">
      <alignment vertical="center" wrapText="1"/>
    </xf>
    <xf numFmtId="0" fontId="4" fillId="7" borderId="11" xfId="0" applyFont="1" applyFill="1" applyBorder="1" applyAlignment="1">
      <alignment horizontal="center" vertical="center" wrapText="1"/>
    </xf>
    <xf numFmtId="0" fontId="4" fillId="7" borderId="44" xfId="0" applyFont="1" applyFill="1" applyBorder="1" applyAlignment="1">
      <alignment horizontal="center" vertical="center" wrapText="1"/>
    </xf>
    <xf numFmtId="165" fontId="4" fillId="7" borderId="46" xfId="2" applyNumberFormat="1" applyFont="1" applyFill="1" applyBorder="1" applyAlignment="1">
      <alignment horizontal="center" vertical="center" wrapText="1"/>
    </xf>
    <xf numFmtId="10" fontId="4" fillId="7" borderId="46" xfId="4" applyNumberFormat="1" applyFont="1" applyFill="1" applyBorder="1" applyAlignment="1">
      <alignment horizontal="center" vertical="center" wrapText="1"/>
    </xf>
    <xf numFmtId="0" fontId="7" fillId="7" borderId="46" xfId="0" applyFont="1" applyFill="1" applyBorder="1" applyAlignment="1">
      <alignment vertical="center" wrapText="1"/>
    </xf>
    <xf numFmtId="0" fontId="4" fillId="2" borderId="26" xfId="0" applyFont="1" applyFill="1" applyBorder="1" applyAlignment="1">
      <alignment horizontal="left" vertical="center" wrapText="1"/>
    </xf>
    <xf numFmtId="0" fontId="7" fillId="2" borderId="26" xfId="0" applyFont="1" applyFill="1" applyBorder="1" applyAlignment="1">
      <alignment horizontal="left" vertical="center" wrapText="1"/>
    </xf>
    <xf numFmtId="165" fontId="4" fillId="7" borderId="11" xfId="2" applyNumberFormat="1" applyFont="1" applyFill="1" applyBorder="1" applyAlignment="1">
      <alignment horizontal="center" vertical="center" wrapText="1"/>
    </xf>
    <xf numFmtId="0" fontId="4" fillId="7" borderId="11" xfId="0" applyFont="1" applyFill="1" applyBorder="1" applyAlignment="1">
      <alignment vertical="center" wrapText="1"/>
    </xf>
    <xf numFmtId="9" fontId="4" fillId="7" borderId="11" xfId="4" applyFont="1" applyFill="1" applyBorder="1" applyAlignment="1">
      <alignment horizontal="center" vertical="center" wrapText="1"/>
    </xf>
    <xf numFmtId="0" fontId="7" fillId="7" borderId="11" xfId="0" applyFont="1" applyFill="1" applyBorder="1" applyAlignment="1">
      <alignment horizontal="center" vertical="center" wrapText="1"/>
    </xf>
    <xf numFmtId="9" fontId="7" fillId="7" borderId="11" xfId="4" applyFont="1" applyFill="1" applyBorder="1" applyAlignment="1">
      <alignment horizontal="center" vertical="center" wrapText="1"/>
    </xf>
    <xf numFmtId="0" fontId="7" fillId="7" borderId="11" xfId="0" applyFont="1" applyFill="1" applyBorder="1" applyAlignment="1">
      <alignment vertical="center" wrapText="1"/>
    </xf>
    <xf numFmtId="9" fontId="4" fillId="6" borderId="27" xfId="0" applyNumberFormat="1" applyFont="1" applyFill="1" applyBorder="1" applyAlignment="1">
      <alignment horizontal="center" vertical="center" wrapText="1"/>
    </xf>
    <xf numFmtId="165" fontId="4" fillId="6" borderId="27" xfId="2" applyNumberFormat="1" applyFont="1" applyFill="1" applyBorder="1" applyAlignment="1">
      <alignment horizontal="center" vertical="center" wrapText="1"/>
    </xf>
    <xf numFmtId="9" fontId="4" fillId="6" borderId="27" xfId="4" applyFont="1" applyFill="1" applyBorder="1" applyAlignment="1">
      <alignment horizontal="center" vertical="center"/>
    </xf>
    <xf numFmtId="9" fontId="4" fillId="6" borderId="27" xfId="0" applyNumberFormat="1" applyFont="1" applyFill="1" applyBorder="1" applyAlignment="1">
      <alignment horizontal="center" vertical="center"/>
    </xf>
    <xf numFmtId="0" fontId="4" fillId="6" borderId="30" xfId="0" applyFont="1" applyFill="1" applyBorder="1" applyAlignment="1">
      <alignment vertical="center" wrapText="1"/>
    </xf>
    <xf numFmtId="9" fontId="7" fillId="6" borderId="27" xfId="4" applyFont="1" applyFill="1" applyBorder="1" applyAlignment="1">
      <alignment horizontal="center" vertical="center"/>
    </xf>
    <xf numFmtId="9" fontId="7" fillId="6" borderId="27" xfId="0" applyNumberFormat="1" applyFont="1" applyFill="1" applyBorder="1" applyAlignment="1">
      <alignment horizontal="center" vertical="center"/>
    </xf>
    <xf numFmtId="0" fontId="7" fillId="6" borderId="30" xfId="0" applyFont="1" applyFill="1" applyBorder="1" applyAlignment="1">
      <alignment vertical="center" wrapText="1"/>
    </xf>
    <xf numFmtId="0" fontId="12" fillId="3" borderId="46" xfId="0" applyFont="1" applyFill="1" applyBorder="1" applyAlignment="1">
      <alignment horizontal="center" vertical="center" wrapText="1"/>
    </xf>
    <xf numFmtId="9" fontId="12" fillId="3" borderId="46" xfId="0" applyNumberFormat="1" applyFont="1" applyFill="1" applyBorder="1" applyAlignment="1">
      <alignment horizontal="center" vertical="center" wrapText="1"/>
    </xf>
    <xf numFmtId="9" fontId="12" fillId="10" borderId="57" xfId="0" applyNumberFormat="1" applyFont="1" applyFill="1" applyBorder="1" applyAlignment="1">
      <alignment horizontal="center" vertical="center" wrapText="1"/>
    </xf>
    <xf numFmtId="9" fontId="12" fillId="3" borderId="46" xfId="4" applyFont="1" applyFill="1" applyBorder="1" applyAlignment="1">
      <alignment horizontal="center" vertical="center" wrapText="1"/>
    </xf>
    <xf numFmtId="0" fontId="12" fillId="10" borderId="57" xfId="0" applyFont="1" applyFill="1" applyBorder="1" applyAlignment="1">
      <alignment horizontal="center" vertical="center" wrapText="1"/>
    </xf>
    <xf numFmtId="9" fontId="4" fillId="6" borderId="46" xfId="0" applyNumberFormat="1" applyFont="1" applyFill="1" applyBorder="1" applyAlignment="1">
      <alignment horizontal="center" vertical="center"/>
    </xf>
    <xf numFmtId="9" fontId="7" fillId="6" borderId="46" xfId="0" applyNumberFormat="1" applyFont="1" applyFill="1" applyBorder="1" applyAlignment="1">
      <alignment horizontal="center" vertical="center"/>
    </xf>
    <xf numFmtId="9" fontId="12" fillId="10" borderId="57" xfId="0" applyNumberFormat="1" applyFont="1" applyFill="1" applyBorder="1" applyAlignment="1">
      <alignment horizontal="center" vertical="center"/>
    </xf>
    <xf numFmtId="9" fontId="12" fillId="3" borderId="46" xfId="0" applyNumberFormat="1" applyFont="1" applyFill="1" applyBorder="1" applyAlignment="1">
      <alignment horizontal="center" vertical="center"/>
    </xf>
    <xf numFmtId="9" fontId="12" fillId="3" borderId="46" xfId="4" applyFont="1" applyFill="1" applyBorder="1" applyAlignment="1">
      <alignment horizontal="center" vertical="center"/>
    </xf>
    <xf numFmtId="166" fontId="4" fillId="7" borderId="46" xfId="4" applyNumberFormat="1" applyFont="1" applyFill="1" applyBorder="1" applyAlignment="1">
      <alignment horizontal="center" vertical="center" wrapText="1"/>
    </xf>
    <xf numFmtId="166" fontId="7" fillId="7" borderId="46" xfId="4" applyNumberFormat="1" applyFont="1" applyFill="1" applyBorder="1" applyAlignment="1">
      <alignment horizontal="center" vertical="center" wrapText="1"/>
    </xf>
    <xf numFmtId="10" fontId="12" fillId="10" borderId="57" xfId="0" applyNumberFormat="1" applyFont="1" applyFill="1" applyBorder="1" applyAlignment="1">
      <alignment horizontal="center" vertical="center" wrapText="1"/>
    </xf>
    <xf numFmtId="166" fontId="7" fillId="6" borderId="46" xfId="4" applyNumberFormat="1" applyFont="1" applyFill="1" applyBorder="1" applyAlignment="1">
      <alignment horizontal="center" vertical="center"/>
    </xf>
    <xf numFmtId="0" fontId="4" fillId="2" borderId="46" xfId="0" applyFont="1" applyFill="1" applyBorder="1" applyAlignment="1">
      <alignment horizontal="left" vertical="center"/>
    </xf>
    <xf numFmtId="0" fontId="7" fillId="2" borderId="0" xfId="0" applyFont="1" applyFill="1" applyAlignment="1">
      <alignment horizontal="center" vertical="center" wrapText="1"/>
    </xf>
    <xf numFmtId="0" fontId="12" fillId="2" borderId="0" xfId="0" applyFont="1" applyFill="1" applyAlignment="1">
      <alignment horizontal="left" vertical="center"/>
    </xf>
    <xf numFmtId="0" fontId="12" fillId="2" borderId="0" xfId="0" applyFont="1" applyFill="1" applyAlignment="1">
      <alignment horizontal="center" vertical="center"/>
    </xf>
    <xf numFmtId="164" fontId="12" fillId="2" borderId="0" xfId="2" applyFont="1" applyFill="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horizontal="center" vertical="center"/>
    </xf>
    <xf numFmtId="164" fontId="4" fillId="2" borderId="0" xfId="2" applyFont="1" applyFill="1" applyAlignment="1">
      <alignment horizontal="left" vertical="center"/>
    </xf>
    <xf numFmtId="0" fontId="4"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164" fontId="4" fillId="0" borderId="0" xfId="2" applyFont="1" applyAlignment="1">
      <alignment horizontal="left" vertical="center"/>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2" fillId="0" borderId="0" xfId="0" applyFont="1" applyAlignment="1">
      <alignment horizontal="center" vertical="center"/>
    </xf>
    <xf numFmtId="44" fontId="2" fillId="5" borderId="15" xfId="5" applyFont="1" applyFill="1" applyBorder="1" applyAlignment="1">
      <alignment horizontal="center" vertical="center"/>
    </xf>
    <xf numFmtId="0" fontId="4" fillId="7" borderId="15" xfId="0" applyFont="1" applyFill="1" applyBorder="1" applyAlignment="1">
      <alignment horizontal="left" vertical="center" wrapText="1"/>
    </xf>
    <xf numFmtId="0" fontId="4" fillId="7" borderId="15" xfId="0" applyFont="1" applyFill="1" applyBorder="1" applyAlignment="1">
      <alignment horizontal="left" vertical="center"/>
    </xf>
    <xf numFmtId="0" fontId="4" fillId="7" borderId="15" xfId="0" applyFont="1" applyFill="1" applyBorder="1" applyAlignment="1">
      <alignment horizontal="center" vertical="center"/>
    </xf>
    <xf numFmtId="1" fontId="4" fillId="7" borderId="15" xfId="4" applyNumberFormat="1" applyFont="1" applyFill="1" applyBorder="1" applyAlignment="1">
      <alignment horizontal="center" vertical="center"/>
    </xf>
    <xf numFmtId="9" fontId="4" fillId="7" borderId="15" xfId="4" applyFont="1" applyFill="1" applyBorder="1" applyAlignment="1">
      <alignment horizontal="center" vertical="center"/>
    </xf>
    <xf numFmtId="0" fontId="4" fillId="6" borderId="15" xfId="0" applyFont="1" applyFill="1" applyBorder="1" applyAlignment="1">
      <alignment horizontal="left" vertical="center"/>
    </xf>
    <xf numFmtId="0" fontId="4" fillId="6" borderId="15" xfId="0" applyFont="1" applyFill="1" applyBorder="1" applyAlignment="1">
      <alignment horizontal="left" vertical="center" wrapText="1"/>
    </xf>
    <xf numFmtId="0" fontId="4" fillId="6" borderId="15" xfId="0" applyFont="1" applyFill="1" applyBorder="1" applyAlignment="1">
      <alignment horizontal="center" vertical="center"/>
    </xf>
    <xf numFmtId="9" fontId="4" fillId="6" borderId="15" xfId="4" applyFont="1" applyFill="1" applyBorder="1" applyAlignment="1">
      <alignment horizontal="center" vertical="center"/>
    </xf>
    <xf numFmtId="0" fontId="4" fillId="6" borderId="11" xfId="0" applyFont="1" applyFill="1" applyBorder="1" applyAlignment="1">
      <alignment horizontal="center" vertical="center" wrapText="1"/>
    </xf>
    <xf numFmtId="9" fontId="4" fillId="6" borderId="15" xfId="0" applyNumberFormat="1" applyFont="1" applyFill="1" applyBorder="1" applyAlignment="1">
      <alignment horizontal="center" vertical="center"/>
    </xf>
    <xf numFmtId="0" fontId="4" fillId="6" borderId="11" xfId="0" applyFont="1" applyFill="1" applyBorder="1" applyAlignment="1">
      <alignment horizontal="center" vertical="center"/>
    </xf>
    <xf numFmtId="9" fontId="4" fillId="6" borderId="11" xfId="4" applyFont="1" applyFill="1" applyBorder="1" applyAlignment="1">
      <alignment horizontal="center" vertical="center"/>
    </xf>
    <xf numFmtId="0" fontId="4" fillId="6" borderId="15"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4" fillId="7" borderId="11" xfId="0" applyFont="1" applyFill="1" applyBorder="1" applyAlignment="1">
      <alignment horizontal="center" vertical="center"/>
    </xf>
    <xf numFmtId="0" fontId="14" fillId="7" borderId="0" xfId="0" applyFont="1" applyFill="1" applyAlignment="1">
      <alignment horizontal="center" vertical="center"/>
    </xf>
    <xf numFmtId="0" fontId="4" fillId="7" borderId="0" xfId="0" applyFont="1" applyFill="1" applyAlignment="1">
      <alignment horizontal="center" vertical="center"/>
    </xf>
    <xf numFmtId="9" fontId="4" fillId="7" borderId="0" xfId="4" applyFont="1" applyFill="1" applyAlignment="1">
      <alignment horizontal="center" vertical="center"/>
    </xf>
    <xf numFmtId="0" fontId="4" fillId="7" borderId="0" xfId="0" applyFont="1" applyFill="1" applyAlignment="1">
      <alignment horizontal="center" vertical="center" wrapText="1"/>
    </xf>
    <xf numFmtId="1" fontId="4" fillId="6" borderId="15" xfId="0" applyNumberFormat="1" applyFont="1" applyFill="1" applyBorder="1" applyAlignment="1">
      <alignment horizontal="center" vertical="center"/>
    </xf>
    <xf numFmtId="0" fontId="4" fillId="6" borderId="0" xfId="0" applyFont="1" applyFill="1" applyAlignment="1">
      <alignment horizontal="center" vertical="center"/>
    </xf>
    <xf numFmtId="10" fontId="4" fillId="6" borderId="0" xfId="0" applyNumberFormat="1" applyFont="1" applyFill="1" applyAlignment="1">
      <alignment horizontal="center" vertical="center"/>
    </xf>
    <xf numFmtId="1" fontId="4" fillId="7" borderId="15" xfId="0" applyNumberFormat="1" applyFont="1" applyFill="1" applyBorder="1" applyAlignment="1">
      <alignment horizontal="center" vertical="center"/>
    </xf>
    <xf numFmtId="0" fontId="4" fillId="6" borderId="58" xfId="0" applyFont="1" applyFill="1" applyBorder="1" applyAlignment="1">
      <alignment horizontal="center" vertical="center" wrapText="1"/>
    </xf>
    <xf numFmtId="10" fontId="4" fillId="7" borderId="0" xfId="0" applyNumberFormat="1" applyFont="1" applyFill="1" applyAlignment="1">
      <alignment horizontal="center" vertical="center"/>
    </xf>
    <xf numFmtId="0" fontId="4" fillId="7" borderId="58" xfId="0" applyFont="1" applyFill="1" applyBorder="1" applyAlignment="1">
      <alignment horizontal="center" vertical="center"/>
    </xf>
    <xf numFmtId="0" fontId="4" fillId="6" borderId="11" xfId="0" applyFont="1" applyFill="1" applyBorder="1" applyAlignment="1">
      <alignment vertical="center" wrapText="1"/>
    </xf>
    <xf numFmtId="9" fontId="4" fillId="6" borderId="0" xfId="4" applyFont="1" applyFill="1" applyAlignment="1">
      <alignment horizontal="center" vertical="center"/>
    </xf>
    <xf numFmtId="0" fontId="4" fillId="7" borderId="7" xfId="0" applyFont="1" applyFill="1" applyBorder="1" applyAlignment="1">
      <alignment horizontal="left" vertical="center" wrapText="1"/>
    </xf>
    <xf numFmtId="0" fontId="4" fillId="7" borderId="7" xfId="0" applyFont="1" applyFill="1" applyBorder="1" applyAlignment="1">
      <alignment horizontal="center" vertical="center" wrapText="1"/>
    </xf>
    <xf numFmtId="0" fontId="4" fillId="7" borderId="7" xfId="0" applyFont="1" applyFill="1" applyBorder="1" applyAlignment="1">
      <alignment horizontal="center" vertical="center"/>
    </xf>
    <xf numFmtId="9" fontId="4" fillId="7" borderId="7" xfId="4" applyFont="1" applyFill="1" applyBorder="1" applyAlignment="1">
      <alignment horizontal="center" vertical="center"/>
    </xf>
    <xf numFmtId="9" fontId="4" fillId="7" borderId="15" xfId="0" applyNumberFormat="1" applyFont="1" applyFill="1" applyBorder="1" applyAlignment="1">
      <alignment horizontal="center" vertical="center"/>
    </xf>
    <xf numFmtId="9" fontId="4" fillId="7" borderId="0" xfId="0" applyNumberFormat="1" applyFont="1" applyFill="1" applyAlignment="1">
      <alignment horizontal="center" vertical="center"/>
    </xf>
    <xf numFmtId="9" fontId="4" fillId="6" borderId="0" xfId="0" applyNumberFormat="1" applyFont="1" applyFill="1" applyAlignment="1">
      <alignment horizontal="center" vertical="center"/>
    </xf>
    <xf numFmtId="0" fontId="4" fillId="6" borderId="58" xfId="0" applyFont="1" applyFill="1" applyBorder="1" applyAlignment="1">
      <alignment horizontal="center" vertical="center"/>
    </xf>
    <xf numFmtId="0" fontId="4" fillId="7" borderId="12" xfId="0" applyFont="1" applyFill="1" applyBorder="1" applyAlignment="1">
      <alignment horizontal="center" vertical="center"/>
    </xf>
    <xf numFmtId="9" fontId="4" fillId="7" borderId="12" xfId="4" applyFont="1" applyFill="1" applyBorder="1" applyAlignment="1">
      <alignment horizontal="center" vertical="center"/>
    </xf>
    <xf numFmtId="9" fontId="4" fillId="6" borderId="0" xfId="4" applyFont="1" applyFill="1" applyAlignment="1">
      <alignment horizontal="left" vertical="center"/>
    </xf>
    <xf numFmtId="0" fontId="4" fillId="6" borderId="58" xfId="0" applyFont="1" applyFill="1" applyBorder="1" applyAlignment="1">
      <alignment horizontal="left" vertical="center" wrapText="1"/>
    </xf>
    <xf numFmtId="166" fontId="4" fillId="7" borderId="0" xfId="0" applyNumberFormat="1" applyFont="1" applyFill="1" applyAlignment="1">
      <alignment horizontal="center" vertical="center"/>
    </xf>
    <xf numFmtId="0" fontId="4" fillId="7" borderId="58" xfId="0" applyFont="1" applyFill="1" applyBorder="1" applyAlignment="1">
      <alignment horizontal="left" vertical="center" wrapText="1"/>
    </xf>
    <xf numFmtId="168" fontId="4" fillId="6" borderId="0" xfId="7" applyFont="1" applyFill="1" applyAlignment="1">
      <alignment horizontal="center" vertical="center"/>
    </xf>
    <xf numFmtId="9" fontId="4" fillId="6" borderId="0" xfId="7" applyNumberFormat="1" applyFont="1" applyFill="1" applyAlignment="1">
      <alignment horizontal="center" vertical="center"/>
    </xf>
    <xf numFmtId="9" fontId="4" fillId="6" borderId="59" xfId="7" applyNumberFormat="1" applyFont="1" applyFill="1" applyBorder="1" applyAlignment="1">
      <alignment horizontal="center" vertical="center"/>
    </xf>
    <xf numFmtId="0" fontId="4" fillId="6" borderId="11" xfId="0" applyFont="1" applyFill="1" applyBorder="1" applyAlignment="1">
      <alignment vertical="center"/>
    </xf>
    <xf numFmtId="9" fontId="4" fillId="6" borderId="0" xfId="7" applyNumberFormat="1" applyFont="1" applyFill="1" applyAlignment="1">
      <alignment horizontal="center" vertical="center" wrapText="1"/>
    </xf>
    <xf numFmtId="9" fontId="4" fillId="7" borderId="0" xfId="4" applyFont="1" applyFill="1" applyAlignment="1">
      <alignment vertical="center"/>
    </xf>
    <xf numFmtId="1" fontId="4" fillId="6" borderId="11" xfId="4" applyNumberFormat="1" applyFont="1" applyFill="1" applyBorder="1" applyAlignment="1">
      <alignment horizontal="center" vertical="center"/>
    </xf>
    <xf numFmtId="1" fontId="4" fillId="6" borderId="0" xfId="0" applyNumberFormat="1" applyFont="1" applyFill="1" applyAlignment="1">
      <alignment horizontal="left" vertical="center"/>
    </xf>
    <xf numFmtId="1" fontId="4" fillId="0" borderId="0" xfId="0" applyNumberFormat="1" applyFont="1" applyAlignment="1">
      <alignment horizontal="left" vertical="center"/>
    </xf>
    <xf numFmtId="0" fontId="4" fillId="0" borderId="0" xfId="0" applyFont="1" applyAlignment="1">
      <alignment horizontal="left" vertical="center" wrapText="1"/>
    </xf>
    <xf numFmtId="0" fontId="2" fillId="0" borderId="0" xfId="0" applyFont="1" applyAlignment="1">
      <alignment horizontal="center" vertical="center" wrapText="1"/>
    </xf>
    <xf numFmtId="0" fontId="2" fillId="5" borderId="0" xfId="0" applyFont="1" applyFill="1" applyAlignment="1">
      <alignment horizontal="center" vertical="center" wrapText="1"/>
    </xf>
    <xf numFmtId="0" fontId="2" fillId="4" borderId="9" xfId="0" applyFont="1" applyFill="1" applyBorder="1" applyAlignment="1">
      <alignment horizontal="center" vertical="center" wrapText="1"/>
    </xf>
    <xf numFmtId="0" fontId="2" fillId="4" borderId="0" xfId="0" applyFont="1" applyFill="1" applyAlignment="1">
      <alignment horizontal="center" vertical="center" wrapText="1"/>
    </xf>
    <xf numFmtId="44" fontId="2" fillId="5" borderId="11" xfId="5" applyFont="1" applyFill="1" applyBorder="1" applyAlignment="1">
      <alignment horizontal="center" vertical="center" wrapText="1"/>
    </xf>
    <xf numFmtId="0" fontId="2" fillId="5" borderId="44"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5" fillId="7" borderId="1" xfId="0" applyFont="1" applyFill="1" applyBorder="1" applyAlignment="1">
      <alignment vertical="center" wrapText="1"/>
    </xf>
    <xf numFmtId="41" fontId="15" fillId="7" borderId="1" xfId="1" applyFont="1" applyFill="1" applyBorder="1" applyAlignment="1">
      <alignment horizontal="center" vertical="center" wrapText="1"/>
    </xf>
    <xf numFmtId="0" fontId="16" fillId="7" borderId="1" xfId="0" applyFont="1" applyFill="1" applyBorder="1" applyAlignment="1">
      <alignment vertical="center" wrapText="1"/>
    </xf>
    <xf numFmtId="9" fontId="16" fillId="7" borderId="1" xfId="0" applyNumberFormat="1" applyFont="1" applyFill="1" applyBorder="1" applyAlignment="1">
      <alignment vertical="center" wrapText="1"/>
    </xf>
    <xf numFmtId="0" fontId="16" fillId="7" borderId="61" xfId="0" applyFont="1" applyFill="1" applyBorder="1" applyAlignment="1">
      <alignment vertical="center" wrapText="1"/>
    </xf>
    <xf numFmtId="0" fontId="0" fillId="0" borderId="1" xfId="0" applyBorder="1"/>
    <xf numFmtId="0" fontId="15" fillId="6" borderId="1" xfId="0" applyFont="1" applyFill="1" applyBorder="1" applyAlignment="1">
      <alignment vertical="center" wrapText="1"/>
    </xf>
    <xf numFmtId="41" fontId="17" fillId="6" borderId="1" xfId="1" applyFont="1" applyFill="1" applyBorder="1" applyAlignment="1">
      <alignment horizontal="center" vertical="center" wrapText="1"/>
    </xf>
    <xf numFmtId="3" fontId="15" fillId="6" borderId="1" xfId="0" applyNumberFormat="1" applyFont="1" applyFill="1" applyBorder="1" applyAlignment="1">
      <alignment vertical="center" wrapText="1"/>
    </xf>
    <xf numFmtId="10" fontId="15" fillId="6" borderId="1" xfId="0" applyNumberFormat="1" applyFont="1" applyFill="1" applyBorder="1" applyAlignment="1">
      <alignment vertical="center" wrapText="1"/>
    </xf>
    <xf numFmtId="3" fontId="16" fillId="7" borderId="1" xfId="0" applyNumberFormat="1" applyFont="1" applyFill="1" applyBorder="1" applyAlignment="1">
      <alignment vertical="center" wrapText="1"/>
    </xf>
    <xf numFmtId="0" fontId="16" fillId="6" borderId="1" xfId="0" applyFont="1" applyFill="1" applyBorder="1" applyAlignment="1">
      <alignment vertical="center" wrapText="1"/>
    </xf>
    <xf numFmtId="10" fontId="15" fillId="6" borderId="61" xfId="0" applyNumberFormat="1" applyFont="1" applyFill="1" applyBorder="1" applyAlignment="1">
      <alignment vertical="center" wrapText="1"/>
    </xf>
    <xf numFmtId="10" fontId="0" fillId="0" borderId="0" xfId="0" applyNumberFormat="1"/>
    <xf numFmtId="10" fontId="15" fillId="7" borderId="1" xfId="0" applyNumberFormat="1" applyFont="1" applyFill="1" applyBorder="1" applyAlignment="1">
      <alignment vertical="center" wrapText="1"/>
    </xf>
    <xf numFmtId="0" fontId="15" fillId="6" borderId="61" xfId="0" applyFont="1" applyFill="1" applyBorder="1" applyAlignment="1">
      <alignment vertical="center" wrapText="1"/>
    </xf>
    <xf numFmtId="0" fontId="15" fillId="7" borderId="1" xfId="0" applyFont="1" applyFill="1" applyBorder="1" applyAlignment="1">
      <alignment horizontal="center" vertical="center" wrapText="1"/>
    </xf>
    <xf numFmtId="41" fontId="15" fillId="6" borderId="1" xfId="1" applyFont="1" applyFill="1" applyBorder="1" applyAlignment="1">
      <alignment horizontal="center" vertical="center" wrapText="1"/>
    </xf>
    <xf numFmtId="9" fontId="16" fillId="6" borderId="1" xfId="0" applyNumberFormat="1" applyFont="1" applyFill="1" applyBorder="1" applyAlignment="1">
      <alignment vertical="center" wrapText="1"/>
    </xf>
    <xf numFmtId="0" fontId="16" fillId="6" borderId="61" xfId="0" applyFont="1" applyFill="1" applyBorder="1" applyAlignment="1">
      <alignment vertical="center" wrapText="1"/>
    </xf>
    <xf numFmtId="41" fontId="15" fillId="6" borderId="1" xfId="1" applyFont="1" applyFill="1" applyBorder="1" applyAlignment="1">
      <alignment vertical="center" wrapText="1"/>
    </xf>
    <xf numFmtId="167" fontId="15" fillId="6" borderId="1" xfId="6" applyFont="1" applyFill="1" applyBorder="1" applyAlignment="1">
      <alignment vertical="center" wrapText="1"/>
    </xf>
    <xf numFmtId="2" fontId="16" fillId="6" borderId="1" xfId="0" applyNumberFormat="1" applyFont="1" applyFill="1" applyBorder="1" applyAlignment="1">
      <alignment vertical="center" wrapText="1"/>
    </xf>
    <xf numFmtId="0" fontId="15" fillId="7" borderId="1" xfId="0" applyFont="1" applyFill="1" applyBorder="1" applyAlignment="1">
      <alignment wrapText="1"/>
    </xf>
    <xf numFmtId="10" fontId="18" fillId="7" borderId="1" xfId="0" applyNumberFormat="1" applyFont="1" applyFill="1" applyBorder="1" applyAlignment="1">
      <alignment horizontal="center" vertical="center"/>
    </xf>
    <xf numFmtId="0" fontId="16" fillId="7" borderId="1" xfId="0" applyFont="1" applyFill="1" applyBorder="1" applyAlignment="1">
      <alignment wrapText="1"/>
    </xf>
    <xf numFmtId="0" fontId="16" fillId="7" borderId="61" xfId="0" applyFont="1" applyFill="1" applyBorder="1" applyAlignment="1">
      <alignment wrapText="1"/>
    </xf>
    <xf numFmtId="10" fontId="16" fillId="7" borderId="1" xfId="0" applyNumberFormat="1" applyFont="1" applyFill="1" applyBorder="1" applyAlignment="1">
      <alignment horizontal="center" vertical="center"/>
    </xf>
    <xf numFmtId="41" fontId="15" fillId="7" borderId="1" xfId="1" applyFont="1" applyFill="1" applyBorder="1" applyAlignment="1">
      <alignment vertical="center" wrapText="1"/>
    </xf>
    <xf numFmtId="167" fontId="15" fillId="7" borderId="1" xfId="6" applyFont="1" applyFill="1" applyBorder="1" applyAlignment="1">
      <alignment vertical="center" wrapText="1"/>
    </xf>
    <xf numFmtId="41" fontId="16" fillId="6" borderId="1" xfId="1" applyFont="1" applyFill="1" applyBorder="1" applyAlignment="1">
      <alignment horizontal="center" vertical="center" wrapText="1"/>
    </xf>
    <xf numFmtId="9" fontId="17" fillId="6" borderId="1" xfId="0" applyNumberFormat="1" applyFont="1" applyFill="1" applyBorder="1" applyAlignment="1">
      <alignment vertical="center" wrapText="1"/>
    </xf>
    <xf numFmtId="3" fontId="0" fillId="0" borderId="0" xfId="0" applyNumberFormat="1"/>
    <xf numFmtId="166" fontId="0" fillId="0" borderId="0" xfId="0" applyNumberFormat="1"/>
    <xf numFmtId="169" fontId="0" fillId="0" borderId="0" xfId="0" applyNumberFormat="1"/>
    <xf numFmtId="0" fontId="6" fillId="2" borderId="60" xfId="0" applyFont="1" applyFill="1" applyBorder="1" applyAlignment="1">
      <alignment horizontal="center" vertical="center" wrapText="1"/>
    </xf>
    <xf numFmtId="0" fontId="2" fillId="5" borderId="8" xfId="0" applyFont="1" applyFill="1" applyBorder="1" applyAlignment="1">
      <alignment horizontal="center" vertical="center"/>
    </xf>
    <xf numFmtId="0" fontId="2" fillId="5" borderId="15" xfId="0" applyFont="1" applyFill="1" applyBorder="1" applyAlignment="1">
      <alignment horizontal="center" vertical="center" wrapText="1"/>
    </xf>
    <xf numFmtId="44" fontId="2" fillId="5" borderId="15" xfId="5"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69" xfId="0" applyFont="1" applyFill="1" applyBorder="1" applyAlignment="1">
      <alignment horizontal="center" vertical="center" wrapText="1"/>
    </xf>
    <xf numFmtId="0" fontId="2" fillId="5" borderId="70" xfId="0" applyFont="1" applyFill="1" applyBorder="1" applyAlignment="1">
      <alignment horizontal="center" vertical="center" wrapText="1"/>
    </xf>
    <xf numFmtId="0" fontId="0" fillId="0" borderId="0" xfId="0" applyAlignment="1">
      <alignment horizontal="center" vertical="center" wrapText="1"/>
    </xf>
    <xf numFmtId="0" fontId="15" fillId="11" borderId="0" xfId="0" applyFont="1" applyFill="1" applyAlignment="1">
      <alignment horizontal="center" vertical="center" wrapText="1"/>
    </xf>
    <xf numFmtId="167" fontId="15" fillId="7" borderId="0" xfId="6" applyFont="1" applyFill="1" applyAlignment="1">
      <alignment horizontal="center" vertical="center" wrapText="1"/>
    </xf>
    <xf numFmtId="0" fontId="15" fillId="6" borderId="0" xfId="0" applyFont="1" applyFill="1" applyAlignment="1">
      <alignment horizontal="center" vertical="center" wrapText="1"/>
    </xf>
    <xf numFmtId="167" fontId="15" fillId="6" borderId="0" xfId="6" applyFont="1" applyFill="1" applyAlignment="1">
      <alignment horizontal="center" vertical="center" wrapText="1"/>
    </xf>
    <xf numFmtId="170" fontId="3" fillId="0" borderId="0" xfId="0" applyNumberFormat="1" applyFont="1"/>
    <xf numFmtId="170" fontId="0" fillId="0" borderId="0" xfId="0" applyNumberFormat="1"/>
    <xf numFmtId="167" fontId="2" fillId="5" borderId="15" xfId="6" applyFont="1" applyFill="1" applyBorder="1" applyAlignment="1">
      <alignment horizontal="center" vertical="center" wrapText="1"/>
    </xf>
    <xf numFmtId="0" fontId="0" fillId="0" borderId="0" xfId="0" applyAlignment="1">
      <alignment wrapText="1"/>
    </xf>
    <xf numFmtId="167" fontId="0" fillId="0" borderId="0" xfId="6" applyFont="1" applyAlignment="1">
      <alignment wrapText="1"/>
    </xf>
    <xf numFmtId="9" fontId="15" fillId="6" borderId="0" xfId="4" applyFont="1" applyFill="1" applyAlignment="1">
      <alignment horizontal="center" vertical="center" wrapText="1"/>
    </xf>
    <xf numFmtId="0" fontId="15" fillId="0" borderId="0" xfId="0" applyFont="1" applyAlignment="1">
      <alignment horizontal="center" vertical="center" wrapText="1"/>
    </xf>
    <xf numFmtId="10" fontId="15" fillId="6" borderId="0" xfId="0" applyNumberFormat="1" applyFont="1" applyFill="1" applyAlignment="1">
      <alignment horizontal="center" vertical="center" wrapText="1"/>
    </xf>
    <xf numFmtId="42" fontId="15" fillId="7" borderId="0" xfId="3" applyFont="1" applyFill="1" applyAlignment="1">
      <alignment horizontal="center" vertical="center" wrapText="1"/>
    </xf>
    <xf numFmtId="9" fontId="15" fillId="6" borderId="0" xfId="0" applyNumberFormat="1" applyFont="1" applyFill="1" applyAlignment="1">
      <alignment horizontal="center" vertical="center" wrapText="1"/>
    </xf>
    <xf numFmtId="0" fontId="15" fillId="6" borderId="0" xfId="0" applyFont="1" applyFill="1" applyAlignment="1">
      <alignment horizontal="left" vertical="center" wrapText="1"/>
    </xf>
    <xf numFmtId="9" fontId="15" fillId="11" borderId="0" xfId="4" applyFont="1" applyFill="1" applyAlignment="1">
      <alignment horizontal="center" vertical="center" wrapText="1"/>
    </xf>
    <xf numFmtId="10" fontId="15" fillId="6" borderId="0" xfId="4" applyNumberFormat="1" applyFont="1" applyFill="1" applyAlignment="1">
      <alignment horizontal="center" vertical="center" wrapText="1"/>
    </xf>
    <xf numFmtId="10" fontId="15" fillId="6" borderId="1" xfId="0" applyNumberFormat="1" applyFont="1" applyFill="1" applyBorder="1" applyAlignment="1">
      <alignment horizontal="center" vertical="center" wrapText="1"/>
    </xf>
    <xf numFmtId="0" fontId="4" fillId="6" borderId="46" xfId="0" applyFont="1" applyFill="1" applyBorder="1" applyAlignment="1">
      <alignment horizontal="center" vertical="center" wrapText="1"/>
    </xf>
    <xf numFmtId="0" fontId="4" fillId="6" borderId="46" xfId="0" applyFont="1" applyFill="1" applyBorder="1" applyAlignment="1">
      <alignment horizontal="center" vertical="center"/>
    </xf>
    <xf numFmtId="0" fontId="4" fillId="7" borderId="46" xfId="0" applyFont="1" applyFill="1" applyBorder="1" applyAlignment="1">
      <alignment horizontal="center" vertical="center" wrapText="1"/>
    </xf>
    <xf numFmtId="9" fontId="4" fillId="7" borderId="46" xfId="4" applyFont="1" applyFill="1" applyBorder="1" applyAlignment="1">
      <alignment horizontal="center" vertical="center" wrapText="1"/>
    </xf>
    <xf numFmtId="9" fontId="4" fillId="6" borderId="46" xfId="4" applyFont="1" applyFill="1" applyBorder="1" applyAlignment="1">
      <alignment horizontal="center" vertical="center" wrapText="1"/>
    </xf>
    <xf numFmtId="9" fontId="4" fillId="6" borderId="46" xfId="4" applyFont="1" applyFill="1" applyBorder="1" applyAlignment="1">
      <alignment horizontal="center" vertical="center"/>
    </xf>
    <xf numFmtId="0" fontId="2" fillId="2" borderId="0" xfId="0" applyFont="1" applyFill="1" applyAlignment="1">
      <alignment horizontal="center" vertical="center" wrapText="1"/>
    </xf>
    <xf numFmtId="165" fontId="4" fillId="6" borderId="27" xfId="5" applyNumberFormat="1" applyFont="1" applyFill="1" applyBorder="1" applyAlignment="1">
      <alignment vertical="center" wrapText="1"/>
    </xf>
    <xf numFmtId="0" fontId="15" fillId="2" borderId="0" xfId="0" applyFont="1" applyFill="1" applyAlignment="1">
      <alignment horizontal="center" vertical="center" wrapText="1"/>
    </xf>
    <xf numFmtId="165" fontId="4" fillId="7" borderId="20" xfId="5" applyNumberFormat="1" applyFont="1" applyFill="1" applyBorder="1" applyAlignment="1">
      <alignment vertical="center" wrapText="1"/>
    </xf>
    <xf numFmtId="0" fontId="0" fillId="2" borderId="0" xfId="0" applyFill="1" applyAlignment="1">
      <alignment vertical="center" wrapText="1"/>
    </xf>
    <xf numFmtId="167" fontId="0" fillId="2" borderId="0" xfId="6" applyFont="1" applyFill="1" applyAlignment="1">
      <alignment vertical="center" wrapText="1"/>
    </xf>
    <xf numFmtId="9" fontId="9" fillId="9" borderId="30" xfId="0" applyNumberFormat="1" applyFont="1" applyFill="1" applyBorder="1" applyAlignment="1">
      <alignment horizontal="center" vertical="center" wrapText="1"/>
    </xf>
    <xf numFmtId="0" fontId="0" fillId="0" borderId="0" xfId="0" applyAlignment="1">
      <alignment vertical="center" wrapText="1"/>
    </xf>
    <xf numFmtId="0" fontId="0" fillId="2" borderId="0" xfId="0" applyFill="1" applyAlignment="1">
      <alignment wrapText="1"/>
    </xf>
    <xf numFmtId="167" fontId="0" fillId="2" borderId="0" xfId="6" applyFont="1" applyFill="1" applyAlignment="1">
      <alignment wrapText="1"/>
    </xf>
    <xf numFmtId="171" fontId="4" fillId="6" borderId="46" xfId="5" applyNumberFormat="1" applyFont="1" applyFill="1" applyBorder="1" applyAlignment="1">
      <alignment horizontal="center" vertical="center" wrapText="1"/>
    </xf>
    <xf numFmtId="171" fontId="4" fillId="7" borderId="46" xfId="5" applyNumberFormat="1" applyFont="1" applyFill="1" applyBorder="1" applyAlignment="1">
      <alignment horizontal="center" vertical="center" wrapText="1"/>
    </xf>
    <xf numFmtId="1" fontId="4" fillId="7" borderId="46" xfId="4" applyNumberFormat="1" applyFont="1" applyFill="1" applyBorder="1" applyAlignment="1">
      <alignment horizontal="center" vertical="center" wrapText="1"/>
    </xf>
    <xf numFmtId="9" fontId="19" fillId="4" borderId="0" xfId="0" applyNumberFormat="1" applyFont="1" applyFill="1" applyAlignment="1">
      <alignment horizontal="center" vertical="center" wrapText="1"/>
    </xf>
    <xf numFmtId="0" fontId="19" fillId="4" borderId="0" xfId="0" applyFont="1" applyFill="1" applyAlignment="1">
      <alignment horizontal="center" vertical="center" wrapText="1"/>
    </xf>
    <xf numFmtId="0" fontId="15" fillId="2" borderId="0" xfId="0" applyFont="1" applyFill="1" applyAlignment="1">
      <alignment vertical="center" wrapText="1"/>
    </xf>
    <xf numFmtId="0" fontId="17" fillId="2" borderId="0" xfId="0" applyFont="1" applyFill="1" applyAlignment="1">
      <alignment horizontal="center" vertical="center" wrapText="1"/>
    </xf>
    <xf numFmtId="9" fontId="15" fillId="2" borderId="0" xfId="0" applyNumberFormat="1" applyFont="1" applyFill="1" applyAlignment="1">
      <alignment horizontal="center" vertical="center" wrapText="1"/>
    </xf>
    <xf numFmtId="167" fontId="15" fillId="2" borderId="0" xfId="6" applyFont="1" applyFill="1" applyAlignment="1">
      <alignment horizontal="center" vertical="center" wrapText="1"/>
    </xf>
    <xf numFmtId="9" fontId="4" fillId="7" borderId="76" xfId="4" applyFont="1" applyFill="1" applyBorder="1" applyAlignment="1">
      <alignment horizontal="center" vertical="center" wrapText="1"/>
    </xf>
    <xf numFmtId="166" fontId="3" fillId="2" borderId="0" xfId="0" applyNumberFormat="1" applyFont="1" applyFill="1" applyAlignment="1">
      <alignment horizontal="center" vertical="center" wrapText="1"/>
    </xf>
    <xf numFmtId="9" fontId="15" fillId="2" borderId="0" xfId="4" applyFont="1" applyFill="1" applyAlignment="1">
      <alignment horizontal="center" vertical="center" wrapText="1"/>
    </xf>
    <xf numFmtId="0" fontId="15" fillId="2" borderId="0" xfId="0" applyFont="1" applyFill="1" applyBorder="1" applyAlignment="1">
      <alignment horizontal="center" vertical="center" wrapText="1"/>
    </xf>
    <xf numFmtId="0" fontId="15" fillId="2" borderId="0" xfId="0" applyFont="1" applyFill="1" applyBorder="1" applyAlignment="1">
      <alignment horizontal="justify" vertical="center" wrapText="1"/>
    </xf>
    <xf numFmtId="0" fontId="15" fillId="2" borderId="71" xfId="0" applyFont="1" applyFill="1" applyBorder="1" applyAlignment="1">
      <alignment horizontal="justify" vertical="center" wrapText="1"/>
    </xf>
    <xf numFmtId="0" fontId="0" fillId="2" borderId="0" xfId="0" applyFill="1" applyAlignment="1">
      <alignment horizontal="center" vertical="center" wrapText="1"/>
    </xf>
    <xf numFmtId="0" fontId="4" fillId="7" borderId="76" xfId="0" applyFont="1" applyFill="1" applyBorder="1" applyAlignment="1">
      <alignment horizontal="center" vertical="center" wrapText="1"/>
    </xf>
    <xf numFmtId="0" fontId="4" fillId="2" borderId="0" xfId="0" applyFont="1" applyFill="1" applyBorder="1" applyAlignment="1">
      <alignment vertical="center" wrapText="1"/>
    </xf>
    <xf numFmtId="0" fontId="4" fillId="2" borderId="0" xfId="0" applyFont="1" applyFill="1" applyBorder="1" applyAlignment="1">
      <alignment horizontal="center" vertical="center" wrapText="1"/>
    </xf>
    <xf numFmtId="0" fontId="0" fillId="2" borderId="0" xfId="0" applyFill="1"/>
    <xf numFmtId="165" fontId="4" fillId="7" borderId="76" xfId="2" applyNumberFormat="1" applyFont="1" applyFill="1" applyBorder="1" applyAlignment="1">
      <alignment horizontal="center" vertical="center" wrapText="1"/>
    </xf>
    <xf numFmtId="172" fontId="4" fillId="6" borderId="46" xfId="4" applyNumberFormat="1" applyFont="1" applyFill="1" applyBorder="1" applyAlignment="1">
      <alignment horizontal="center" vertical="center" wrapText="1"/>
    </xf>
    <xf numFmtId="1" fontId="4" fillId="6" borderId="46" xfId="4" applyNumberFormat="1" applyFont="1" applyFill="1" applyBorder="1" applyAlignment="1">
      <alignment horizontal="center" vertical="center" wrapText="1"/>
    </xf>
    <xf numFmtId="9" fontId="16" fillId="7" borderId="1" xfId="0" applyNumberFormat="1" applyFont="1" applyFill="1" applyBorder="1" applyAlignment="1">
      <alignment horizontal="center" vertical="center" wrapText="1"/>
    </xf>
    <xf numFmtId="10" fontId="15" fillId="7" borderId="1" xfId="0" applyNumberFormat="1" applyFont="1" applyFill="1" applyBorder="1" applyAlignment="1">
      <alignment horizontal="center" vertical="center" wrapText="1"/>
    </xf>
    <xf numFmtId="9" fontId="16" fillId="6" borderId="1" xfId="0" applyNumberFormat="1" applyFont="1" applyFill="1" applyBorder="1" applyAlignment="1">
      <alignment horizontal="center" vertical="center" wrapText="1"/>
    </xf>
    <xf numFmtId="1" fontId="4" fillId="6" borderId="46" xfId="4" applyNumberFormat="1" applyFont="1" applyFill="1" applyBorder="1" applyAlignment="1">
      <alignment horizontal="center" vertical="center"/>
    </xf>
    <xf numFmtId="9" fontId="4" fillId="6" borderId="46" xfId="4" applyNumberFormat="1" applyFont="1" applyFill="1" applyBorder="1" applyAlignment="1">
      <alignment horizontal="center" vertical="center"/>
    </xf>
    <xf numFmtId="9" fontId="4" fillId="7" borderId="46" xfId="4" applyNumberFormat="1" applyFont="1" applyFill="1" applyBorder="1" applyAlignment="1">
      <alignment horizontal="center" vertical="center" wrapText="1"/>
    </xf>
    <xf numFmtId="9" fontId="4" fillId="6" borderId="46" xfId="4" applyNumberFormat="1" applyFont="1" applyFill="1" applyBorder="1" applyAlignment="1">
      <alignment horizontal="center" vertical="center" wrapText="1"/>
    </xf>
    <xf numFmtId="0" fontId="4"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4" fillId="2" borderId="0" xfId="0" applyFont="1" applyFill="1" applyBorder="1" applyAlignment="1">
      <alignment horizontal="left" vertical="center"/>
    </xf>
    <xf numFmtId="0" fontId="3" fillId="2" borderId="0" xfId="0" applyFont="1" applyFill="1"/>
    <xf numFmtId="0" fontId="2" fillId="3" borderId="83" xfId="0" applyFont="1" applyFill="1" applyBorder="1" applyAlignment="1">
      <alignment horizontal="center" wrapText="1"/>
    </xf>
    <xf numFmtId="0" fontId="2" fillId="3" borderId="84" xfId="0" applyFont="1" applyFill="1" applyBorder="1" applyAlignment="1">
      <alignment horizontal="center" wrapText="1"/>
    </xf>
    <xf numFmtId="0" fontId="0" fillId="2" borderId="0" xfId="0" applyFill="1" applyAlignment="1">
      <alignment horizontal="center"/>
    </xf>
    <xf numFmtId="0" fontId="3" fillId="7" borderId="85" xfId="0" applyFont="1" applyFill="1" applyBorder="1" applyAlignment="1">
      <alignment horizontal="center" vertical="center"/>
    </xf>
    <xf numFmtId="0" fontId="0" fillId="7" borderId="85" xfId="0" applyFill="1" applyBorder="1"/>
    <xf numFmtId="166" fontId="3" fillId="7" borderId="86" xfId="4" applyNumberFormat="1" applyFont="1" applyFill="1" applyBorder="1"/>
    <xf numFmtId="166" fontId="3" fillId="7" borderId="87" xfId="4" applyNumberFormat="1" applyFont="1" applyFill="1" applyBorder="1"/>
    <xf numFmtId="166" fontId="20" fillId="12" borderId="86" xfId="0" applyNumberFormat="1" applyFont="1" applyFill="1" applyBorder="1"/>
    <xf numFmtId="166" fontId="20" fillId="12" borderId="87" xfId="0" applyNumberFormat="1" applyFont="1" applyFill="1" applyBorder="1"/>
    <xf numFmtId="0" fontId="0" fillId="2" borderId="0" xfId="0" applyFill="1" applyAlignment="1">
      <alignment horizontal="right"/>
    </xf>
    <xf numFmtId="0" fontId="3" fillId="7" borderId="62" xfId="0" applyFont="1" applyFill="1" applyBorder="1" applyAlignment="1">
      <alignment horizontal="center" vertical="center"/>
    </xf>
    <xf numFmtId="166" fontId="3" fillId="7" borderId="87" xfId="4" applyNumberFormat="1" applyFont="1" applyFill="1" applyBorder="1" applyAlignment="1">
      <alignment horizontal="right"/>
    </xf>
    <xf numFmtId="166" fontId="20" fillId="12" borderId="87" xfId="0" applyNumberFormat="1" applyFont="1" applyFill="1" applyBorder="1" applyAlignment="1">
      <alignment horizontal="right"/>
    </xf>
    <xf numFmtId="0" fontId="3" fillId="7" borderId="88" xfId="0" applyFont="1" applyFill="1" applyBorder="1" applyAlignment="1">
      <alignment horizontal="center" vertical="center"/>
    </xf>
    <xf numFmtId="0" fontId="0" fillId="7" borderId="88" xfId="0" applyFill="1" applyBorder="1"/>
    <xf numFmtId="166" fontId="3" fillId="7" borderId="89" xfId="4" applyNumberFormat="1" applyFont="1" applyFill="1" applyBorder="1"/>
    <xf numFmtId="166" fontId="3" fillId="7" borderId="90" xfId="4" applyNumberFormat="1" applyFont="1" applyFill="1" applyBorder="1"/>
    <xf numFmtId="166" fontId="20" fillId="12" borderId="89" xfId="0" applyNumberFormat="1" applyFont="1" applyFill="1" applyBorder="1"/>
    <xf numFmtId="166" fontId="20" fillId="12" borderId="90" xfId="0" applyNumberFormat="1" applyFont="1" applyFill="1" applyBorder="1"/>
    <xf numFmtId="0" fontId="0" fillId="2" borderId="88" xfId="0" applyFill="1" applyBorder="1"/>
    <xf numFmtId="166" fontId="0" fillId="2" borderId="89" xfId="4" applyNumberFormat="1" applyFont="1" applyFill="1" applyBorder="1"/>
    <xf numFmtId="166" fontId="0" fillId="2" borderId="92" xfId="4" applyNumberFormat="1" applyFont="1" applyFill="1" applyBorder="1" applyAlignment="1">
      <alignment horizontal="right"/>
    </xf>
    <xf numFmtId="166" fontId="0" fillId="2" borderId="89" xfId="4" applyNumberFormat="1" applyFont="1" applyFill="1" applyBorder="1" applyAlignment="1">
      <alignment horizontal="right"/>
    </xf>
    <xf numFmtId="166" fontId="0" fillId="2" borderId="90" xfId="4" applyNumberFormat="1" applyFont="1" applyFill="1" applyBorder="1" applyAlignment="1">
      <alignment horizontal="right"/>
    </xf>
    <xf numFmtId="166" fontId="21" fillId="13" borderId="89" xfId="0" applyNumberFormat="1" applyFont="1" applyFill="1" applyBorder="1" applyAlignment="1">
      <alignment horizontal="right"/>
    </xf>
    <xf numFmtId="166" fontId="21" fillId="13" borderId="92" xfId="0" applyNumberFormat="1" applyFont="1" applyFill="1" applyBorder="1" applyAlignment="1">
      <alignment horizontal="right"/>
    </xf>
    <xf numFmtId="166" fontId="0" fillId="2" borderId="90" xfId="4" applyNumberFormat="1" applyFont="1" applyFill="1" applyBorder="1"/>
    <xf numFmtId="166" fontId="21" fillId="13" borderId="90" xfId="0" applyNumberFormat="1" applyFont="1" applyFill="1" applyBorder="1" applyAlignment="1">
      <alignment horizontal="right"/>
    </xf>
    <xf numFmtId="0" fontId="3" fillId="7" borderId="61" xfId="0" applyFont="1" applyFill="1" applyBorder="1"/>
    <xf numFmtId="166" fontId="3" fillId="7" borderId="83" xfId="4" applyNumberFormat="1" applyFont="1" applyFill="1" applyBorder="1"/>
    <xf numFmtId="166" fontId="20" fillId="12" borderId="83" xfId="0" applyNumberFormat="1" applyFont="1" applyFill="1" applyBorder="1"/>
    <xf numFmtId="0" fontId="0" fillId="2" borderId="95" xfId="0" applyFill="1" applyBorder="1"/>
    <xf numFmtId="166" fontId="0" fillId="2" borderId="86" xfId="4" applyNumberFormat="1" applyFont="1" applyFill="1" applyBorder="1"/>
    <xf numFmtId="166" fontId="0" fillId="2" borderId="97" xfId="4" applyNumberFormat="1" applyFont="1" applyFill="1" applyBorder="1"/>
    <xf numFmtId="166" fontId="0" fillId="2" borderId="92" xfId="4" applyNumberFormat="1" applyFont="1" applyFill="1" applyBorder="1"/>
    <xf numFmtId="166" fontId="0" fillId="2" borderId="98" xfId="4" applyNumberFormat="1" applyFont="1" applyFill="1" applyBorder="1"/>
    <xf numFmtId="0" fontId="0" fillId="2" borderId="59" xfId="0" applyFill="1" applyBorder="1"/>
    <xf numFmtId="166" fontId="0" fillId="2" borderId="99" xfId="4" applyNumberFormat="1" applyFont="1" applyFill="1" applyBorder="1"/>
    <xf numFmtId="0" fontId="22" fillId="3" borderId="61" xfId="0" applyFont="1" applyFill="1" applyBorder="1"/>
    <xf numFmtId="166" fontId="22" fillId="3" borderId="83" xfId="0" applyNumberFormat="1" applyFont="1" applyFill="1" applyBorder="1"/>
    <xf numFmtId="41" fontId="0" fillId="2" borderId="0" xfId="1" applyFont="1" applyFill="1"/>
    <xf numFmtId="10" fontId="0" fillId="2" borderId="0" xfId="0" applyNumberFormat="1" applyFill="1"/>
    <xf numFmtId="6" fontId="0" fillId="2" borderId="0" xfId="0" applyNumberFormat="1" applyFill="1"/>
    <xf numFmtId="0" fontId="4" fillId="7" borderId="11" xfId="0" applyFont="1" applyFill="1" applyBorder="1" applyAlignment="1">
      <alignment horizontal="center" vertical="center" wrapText="1"/>
    </xf>
    <xf numFmtId="0" fontId="2" fillId="4" borderId="9" xfId="0" applyFont="1" applyFill="1" applyBorder="1" applyAlignment="1">
      <alignment horizontal="center" vertical="center"/>
    </xf>
    <xf numFmtId="0" fontId="2" fillId="5" borderId="11" xfId="0" applyFont="1" applyFill="1" applyBorder="1" applyAlignment="1">
      <alignment horizontal="center" vertical="center"/>
    </xf>
    <xf numFmtId="0" fontId="2" fillId="4" borderId="0" xfId="0" applyFont="1" applyFill="1" applyAlignment="1">
      <alignment horizontal="center" vertical="center"/>
    </xf>
    <xf numFmtId="0" fontId="3" fillId="7" borderId="94" xfId="0" applyFont="1" applyFill="1" applyBorder="1" applyAlignment="1">
      <alignment horizontal="center" vertical="center"/>
    </xf>
    <xf numFmtId="0" fontId="3" fillId="7" borderId="58" xfId="0" applyFont="1" applyFill="1" applyBorder="1" applyAlignment="1">
      <alignment horizontal="center" vertical="center"/>
    </xf>
    <xf numFmtId="0" fontId="3" fillId="7" borderId="96" xfId="0" applyFont="1" applyFill="1" applyBorder="1" applyAlignment="1">
      <alignment horizontal="center" vertical="center"/>
    </xf>
    <xf numFmtId="0" fontId="3" fillId="7" borderId="91" xfId="0" applyFont="1" applyFill="1" applyBorder="1" applyAlignment="1">
      <alignment horizontal="center" vertical="center"/>
    </xf>
    <xf numFmtId="0" fontId="3" fillId="7" borderId="62" xfId="0" applyFont="1" applyFill="1" applyBorder="1" applyAlignment="1">
      <alignment horizontal="center" vertical="center"/>
    </xf>
    <xf numFmtId="0" fontId="3" fillId="7" borderId="93" xfId="0" applyFont="1" applyFill="1" applyBorder="1" applyAlignment="1">
      <alignment horizontal="center" vertical="center"/>
    </xf>
    <xf numFmtId="0" fontId="3" fillId="7" borderId="63" xfId="0" applyFont="1" applyFill="1" applyBorder="1" applyAlignment="1">
      <alignment horizontal="center" vertical="center"/>
    </xf>
    <xf numFmtId="0" fontId="0" fillId="2" borderId="100" xfId="0" applyFill="1" applyBorder="1" applyAlignment="1">
      <alignment horizontal="center" vertical="center" wrapText="1"/>
    </xf>
    <xf numFmtId="0" fontId="0" fillId="2" borderId="74" xfId="0" applyFill="1" applyBorder="1" applyAlignment="1">
      <alignment horizontal="center" vertical="center" wrapText="1"/>
    </xf>
    <xf numFmtId="0" fontId="0" fillId="2" borderId="75" xfId="0" applyFill="1" applyBorder="1" applyAlignment="1">
      <alignment horizontal="center" vertical="center" wrapText="1"/>
    </xf>
    <xf numFmtId="0" fontId="0" fillId="2" borderId="101" xfId="0" applyFill="1" applyBorder="1" applyAlignment="1">
      <alignment horizontal="center" vertical="center" wrapText="1"/>
    </xf>
    <xf numFmtId="0" fontId="0" fillId="2" borderId="0" xfId="0" applyFill="1" applyAlignment="1">
      <alignment horizontal="center" vertical="center" wrapText="1"/>
    </xf>
    <xf numFmtId="0" fontId="0" fillId="2" borderId="71" xfId="0" applyFill="1" applyBorder="1" applyAlignment="1">
      <alignment horizontal="center" vertical="center" wrapText="1"/>
    </xf>
    <xf numFmtId="0" fontId="0" fillId="2" borderId="102" xfId="0" applyFill="1" applyBorder="1" applyAlignment="1">
      <alignment horizontal="center" vertical="center" wrapText="1"/>
    </xf>
    <xf numFmtId="0" fontId="0" fillId="2" borderId="72" xfId="0" applyFill="1" applyBorder="1" applyAlignment="1">
      <alignment horizontal="center" vertical="center" wrapText="1"/>
    </xf>
    <xf numFmtId="0" fontId="0" fillId="2" borderId="73" xfId="0" applyFill="1" applyBorder="1" applyAlignment="1">
      <alignment horizontal="center" vertical="center" wrapText="1"/>
    </xf>
    <xf numFmtId="0" fontId="2" fillId="3" borderId="81" xfId="0" applyFont="1" applyFill="1" applyBorder="1" applyAlignment="1">
      <alignment horizontal="center"/>
    </xf>
    <xf numFmtId="0" fontId="2" fillId="3" borderId="82" xfId="0" applyFont="1" applyFill="1" applyBorder="1" applyAlignment="1">
      <alignment horizontal="center"/>
    </xf>
    <xf numFmtId="0" fontId="2" fillId="3" borderId="60" xfId="0" applyFont="1" applyFill="1" applyBorder="1" applyAlignment="1">
      <alignment horizontal="center" vertical="center"/>
    </xf>
    <xf numFmtId="0" fontId="2" fillId="3" borderId="63" xfId="0" applyFont="1" applyFill="1" applyBorder="1" applyAlignment="1">
      <alignment horizontal="center" vertical="center"/>
    </xf>
    <xf numFmtId="0" fontId="8" fillId="9" borderId="30" xfId="0" applyFont="1" applyFill="1" applyBorder="1" applyAlignment="1">
      <alignment horizontal="center" vertical="center" wrapText="1"/>
    </xf>
    <xf numFmtId="9" fontId="4" fillId="7" borderId="46" xfId="4" applyFont="1" applyFill="1" applyBorder="1" applyAlignment="1">
      <alignment horizontal="center" vertical="center" wrapText="1"/>
    </xf>
    <xf numFmtId="0" fontId="4" fillId="7" borderId="46" xfId="0" applyFont="1" applyFill="1" applyBorder="1" applyAlignment="1">
      <alignment horizontal="center" vertical="center" wrapText="1"/>
    </xf>
    <xf numFmtId="0" fontId="4" fillId="6" borderId="46" xfId="0" applyFont="1" applyFill="1" applyBorder="1" applyAlignment="1">
      <alignment horizontal="center" vertical="center" wrapText="1"/>
    </xf>
    <xf numFmtId="9" fontId="4" fillId="6" borderId="46" xfId="4" applyFont="1" applyFill="1" applyBorder="1" applyAlignment="1">
      <alignment horizontal="center" vertical="center" wrapText="1"/>
    </xf>
    <xf numFmtId="0" fontId="4" fillId="7" borderId="76" xfId="0" applyFont="1" applyFill="1" applyBorder="1" applyAlignment="1">
      <alignment horizontal="center" vertical="center" wrapText="1"/>
    </xf>
    <xf numFmtId="0" fontId="4" fillId="7" borderId="77" xfId="0" applyFont="1" applyFill="1" applyBorder="1" applyAlignment="1">
      <alignment horizontal="center" vertical="center" wrapText="1"/>
    </xf>
    <xf numFmtId="0" fontId="4" fillId="7" borderId="78" xfId="0" applyFont="1" applyFill="1" applyBorder="1" applyAlignment="1">
      <alignment horizontal="center" vertical="center" wrapText="1"/>
    </xf>
    <xf numFmtId="0" fontId="4" fillId="6" borderId="76" xfId="0" applyFont="1" applyFill="1" applyBorder="1" applyAlignment="1">
      <alignment horizontal="center" vertical="center" wrapText="1"/>
    </xf>
    <xf numFmtId="0" fontId="4" fillId="6" borderId="77" xfId="0" applyFont="1" applyFill="1" applyBorder="1" applyAlignment="1">
      <alignment horizontal="center" vertical="center" wrapText="1"/>
    </xf>
    <xf numFmtId="0" fontId="4" fillId="6" borderId="78" xfId="0" applyFont="1" applyFill="1" applyBorder="1" applyAlignment="1">
      <alignment horizontal="center" vertical="center" wrapText="1"/>
    </xf>
    <xf numFmtId="165" fontId="4" fillId="6" borderId="76" xfId="5" applyNumberFormat="1" applyFont="1" applyFill="1" applyBorder="1" applyAlignment="1">
      <alignment horizontal="center" vertical="center" wrapText="1"/>
    </xf>
    <xf numFmtId="165" fontId="4" fillId="6" borderId="77" xfId="5" applyNumberFormat="1" applyFont="1" applyFill="1" applyBorder="1" applyAlignment="1">
      <alignment horizontal="center" vertical="center" wrapText="1"/>
    </xf>
    <xf numFmtId="165" fontId="4" fillId="6" borderId="78" xfId="5" applyNumberFormat="1" applyFont="1" applyFill="1" applyBorder="1" applyAlignment="1">
      <alignment horizontal="center" vertical="center" wrapText="1"/>
    </xf>
    <xf numFmtId="0" fontId="15" fillId="7" borderId="0" xfId="0" applyFont="1" applyFill="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5" fillId="2" borderId="0" xfId="0" applyFont="1" applyFill="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6" xfId="0" applyFont="1" applyFill="1" applyBorder="1" applyAlignment="1">
      <alignment horizontal="center" vertical="center" wrapText="1"/>
    </xf>
    <xf numFmtId="167" fontId="2" fillId="4" borderId="5" xfId="6" applyFont="1" applyFill="1" applyBorder="1" applyAlignment="1">
      <alignment horizontal="center" vertical="center" wrapText="1"/>
    </xf>
    <xf numFmtId="167" fontId="2" fillId="4" borderId="6" xfId="6" applyFont="1" applyFill="1" applyBorder="1" applyAlignment="1">
      <alignment horizontal="center" vertical="center" wrapText="1"/>
    </xf>
    <xf numFmtId="167" fontId="2" fillId="4" borderId="2" xfId="6" applyFont="1" applyFill="1" applyBorder="1" applyAlignment="1">
      <alignment horizontal="center" vertical="center" wrapText="1"/>
    </xf>
    <xf numFmtId="167" fontId="2" fillId="4" borderId="4" xfId="6"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15" fillId="7" borderId="16" xfId="0" applyFont="1" applyFill="1" applyBorder="1" applyAlignment="1">
      <alignment horizontal="center" vertical="center" wrapText="1"/>
    </xf>
    <xf numFmtId="0" fontId="15" fillId="6" borderId="16" xfId="0" applyFont="1" applyFill="1" applyBorder="1" applyAlignment="1">
      <alignment horizontal="center" vertical="center" wrapText="1"/>
    </xf>
    <xf numFmtId="0" fontId="15" fillId="6" borderId="0" xfId="0" applyFont="1" applyFill="1" applyAlignment="1">
      <alignment horizontal="center" vertical="center" wrapText="1"/>
    </xf>
    <xf numFmtId="44" fontId="2" fillId="4" borderId="5" xfId="5" applyFont="1" applyFill="1" applyBorder="1" applyAlignment="1">
      <alignment horizontal="center" vertical="center" wrapText="1"/>
    </xf>
    <xf numFmtId="44" fontId="2" fillId="4" borderId="6" xfId="5" applyFont="1" applyFill="1" applyBorder="1" applyAlignment="1">
      <alignment horizontal="center" vertical="center" wrapText="1"/>
    </xf>
    <xf numFmtId="44" fontId="2" fillId="4" borderId="2" xfId="5" applyFont="1" applyFill="1" applyBorder="1" applyAlignment="1">
      <alignment horizontal="center" vertical="center" wrapText="1"/>
    </xf>
    <xf numFmtId="44" fontId="2" fillId="4" borderId="4" xfId="5" applyFont="1" applyFill="1" applyBorder="1" applyAlignment="1">
      <alignment horizontal="center" vertical="center" wrapText="1"/>
    </xf>
    <xf numFmtId="0" fontId="4" fillId="7"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3" fontId="15" fillId="6" borderId="60" xfId="0" applyNumberFormat="1" applyFont="1" applyFill="1" applyBorder="1" applyAlignment="1">
      <alignment horizontal="center" vertical="center" wrapText="1"/>
    </xf>
    <xf numFmtId="3" fontId="15" fillId="6" borderId="62" xfId="0" applyNumberFormat="1" applyFont="1" applyFill="1" applyBorder="1" applyAlignment="1">
      <alignment horizontal="center" vertical="center" wrapText="1"/>
    </xf>
    <xf numFmtId="3" fontId="15" fillId="6" borderId="63" xfId="0" applyNumberFormat="1" applyFont="1" applyFill="1" applyBorder="1" applyAlignment="1">
      <alignment horizontal="center" vertical="center" wrapText="1"/>
    </xf>
    <xf numFmtId="41" fontId="15" fillId="7" borderId="1" xfId="1" applyFont="1" applyFill="1" applyBorder="1" applyAlignment="1">
      <alignment horizontal="center" vertical="center" wrapText="1"/>
    </xf>
    <xf numFmtId="167" fontId="15" fillId="7" borderId="1" xfId="6" applyFont="1" applyFill="1" applyBorder="1" applyAlignment="1">
      <alignment horizontal="center" vertical="center" wrapText="1"/>
    </xf>
    <xf numFmtId="3" fontId="15" fillId="6" borderId="1" xfId="0" applyNumberFormat="1" applyFont="1" applyFill="1" applyBorder="1" applyAlignment="1">
      <alignment horizontal="center" vertical="center" wrapText="1"/>
    </xf>
    <xf numFmtId="0" fontId="15" fillId="6" borderId="1" xfId="0" applyFont="1" applyFill="1" applyBorder="1" applyAlignment="1">
      <alignment horizontal="center" vertical="center" wrapText="1"/>
    </xf>
    <xf numFmtId="10" fontId="15" fillId="6" borderId="1" xfId="0" applyNumberFormat="1" applyFont="1" applyFill="1" applyBorder="1" applyAlignment="1">
      <alignment horizontal="center" vertical="center" wrapText="1"/>
    </xf>
    <xf numFmtId="0" fontId="4" fillId="6" borderId="1" xfId="0" applyFont="1" applyFill="1" applyBorder="1" applyAlignment="1">
      <alignment horizontal="center" vertical="center" wrapText="1"/>
    </xf>
    <xf numFmtId="0" fontId="15" fillId="6" borderId="60" xfId="0" applyFont="1" applyFill="1" applyBorder="1" applyAlignment="1">
      <alignment horizontal="center" vertical="center" wrapText="1"/>
    </xf>
    <xf numFmtId="0" fontId="15" fillId="6" borderId="62" xfId="0" applyFont="1" applyFill="1" applyBorder="1" applyAlignment="1">
      <alignment horizontal="center" vertical="center" wrapText="1"/>
    </xf>
    <xf numFmtId="0" fontId="15" fillId="6" borderId="63" xfId="0" applyFont="1" applyFill="1" applyBorder="1" applyAlignment="1">
      <alignment horizontal="center" vertical="center" wrapText="1"/>
    </xf>
    <xf numFmtId="10" fontId="15" fillId="6" borderId="60" xfId="0" applyNumberFormat="1" applyFont="1" applyFill="1" applyBorder="1" applyAlignment="1">
      <alignment horizontal="center" vertical="center" wrapText="1"/>
    </xf>
    <xf numFmtId="10" fontId="15" fillId="6" borderId="62" xfId="0" applyNumberFormat="1" applyFont="1" applyFill="1" applyBorder="1" applyAlignment="1">
      <alignment horizontal="center" vertical="center" wrapText="1"/>
    </xf>
    <xf numFmtId="10" fontId="15" fillId="6" borderId="63" xfId="0" applyNumberFormat="1" applyFont="1" applyFill="1" applyBorder="1" applyAlignment="1">
      <alignment horizontal="center" vertical="center" wrapText="1"/>
    </xf>
    <xf numFmtId="3" fontId="16" fillId="6" borderId="1" xfId="0" applyNumberFormat="1" applyFont="1" applyFill="1" applyBorder="1" applyAlignment="1">
      <alignment horizontal="center" vertical="center" wrapText="1"/>
    </xf>
    <xf numFmtId="0" fontId="16" fillId="6" borderId="1"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0" xfId="0" applyFont="1" applyFill="1" applyAlignment="1">
      <alignment horizontal="center" vertical="center"/>
    </xf>
    <xf numFmtId="0" fontId="2" fillId="4" borderId="6"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44" fontId="2" fillId="4" borderId="5" xfId="5" applyFont="1" applyFill="1" applyBorder="1" applyAlignment="1">
      <alignment horizontal="center" vertical="center"/>
    </xf>
    <xf numFmtId="44" fontId="2" fillId="4" borderId="6" xfId="5" applyFont="1" applyFill="1" applyBorder="1" applyAlignment="1">
      <alignment horizontal="center" vertical="center"/>
    </xf>
    <xf numFmtId="44" fontId="2" fillId="4" borderId="2" xfId="5" applyFont="1" applyFill="1" applyBorder="1" applyAlignment="1">
      <alignment horizontal="center" vertical="center"/>
    </xf>
    <xf numFmtId="44" fontId="2" fillId="4" borderId="4" xfId="5" applyFont="1" applyFill="1" applyBorder="1" applyAlignment="1">
      <alignment horizontal="center" vertical="center"/>
    </xf>
    <xf numFmtId="0" fontId="2" fillId="4" borderId="7"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2" xfId="0" applyFont="1" applyFill="1" applyBorder="1" applyAlignment="1">
      <alignment horizontal="center" vertical="center"/>
    </xf>
    <xf numFmtId="0" fontId="2" fillId="4" borderId="13" xfId="0" applyFont="1" applyFill="1" applyBorder="1" applyAlignment="1">
      <alignment horizontal="center" vertical="center"/>
    </xf>
    <xf numFmtId="0" fontId="2" fillId="4" borderId="14" xfId="0" applyFont="1" applyFill="1" applyBorder="1" applyAlignment="1">
      <alignment horizontal="center" vertical="center"/>
    </xf>
    <xf numFmtId="167" fontId="13" fillId="7" borderId="11" xfId="6" applyFont="1" applyFill="1" applyBorder="1" applyAlignment="1">
      <alignment horizontal="center" vertical="center"/>
    </xf>
    <xf numFmtId="167" fontId="13" fillId="7" borderId="7" xfId="6" applyFont="1" applyFill="1" applyBorder="1" applyAlignment="1">
      <alignment horizontal="center" vertical="center"/>
    </xf>
    <xf numFmtId="167" fontId="13" fillId="7" borderId="12" xfId="6" applyFont="1" applyFill="1" applyBorder="1" applyAlignment="1">
      <alignment horizontal="center" vertical="center"/>
    </xf>
    <xf numFmtId="9" fontId="4" fillId="7" borderId="76" xfId="4" applyFont="1" applyFill="1" applyBorder="1" applyAlignment="1">
      <alignment horizontal="center" vertical="center" wrapText="1"/>
    </xf>
    <xf numFmtId="9" fontId="4" fillId="7" borderId="77" xfId="4" applyFont="1" applyFill="1" applyBorder="1" applyAlignment="1">
      <alignment horizontal="center" vertical="center" wrapText="1"/>
    </xf>
    <xf numFmtId="9" fontId="4" fillId="7" borderId="78" xfId="4" applyFont="1" applyFill="1" applyBorder="1" applyAlignment="1">
      <alignment horizontal="center" vertical="center" wrapText="1"/>
    </xf>
    <xf numFmtId="9" fontId="7" fillId="7" borderId="11" xfId="4" applyFont="1" applyFill="1" applyBorder="1" applyAlignment="1">
      <alignment horizontal="center" vertical="center"/>
    </xf>
    <xf numFmtId="9" fontId="7" fillId="7" borderId="7" xfId="4" applyFont="1" applyFill="1" applyBorder="1" applyAlignment="1">
      <alignment horizontal="center" vertical="center"/>
    </xf>
    <xf numFmtId="9" fontId="7" fillId="7" borderId="12" xfId="4" applyFont="1" applyFill="1" applyBorder="1" applyAlignment="1">
      <alignment horizontal="center" vertical="center"/>
    </xf>
    <xf numFmtId="0" fontId="4" fillId="7" borderId="11" xfId="0" applyFont="1" applyFill="1" applyBorder="1" applyAlignment="1">
      <alignment horizontal="center" vertical="center"/>
    </xf>
    <xf numFmtId="0" fontId="4" fillId="7" borderId="7" xfId="0" applyFont="1" applyFill="1" applyBorder="1" applyAlignment="1">
      <alignment horizontal="center" vertical="center"/>
    </xf>
    <xf numFmtId="0" fontId="4" fillId="7" borderId="12" xfId="0" applyFont="1" applyFill="1" applyBorder="1" applyAlignment="1">
      <alignment horizontal="center" vertical="center"/>
    </xf>
    <xf numFmtId="9" fontId="4" fillId="7" borderId="11" xfId="4" applyFont="1" applyFill="1" applyBorder="1" applyAlignment="1">
      <alignment horizontal="center" vertical="center"/>
    </xf>
    <xf numFmtId="9" fontId="4" fillId="7" borderId="7" xfId="4" applyFont="1" applyFill="1" applyBorder="1" applyAlignment="1">
      <alignment horizontal="center" vertical="center"/>
    </xf>
    <xf numFmtId="9" fontId="4" fillId="7" borderId="12" xfId="4" applyFont="1" applyFill="1" applyBorder="1" applyAlignment="1">
      <alignment horizontal="center" vertical="center"/>
    </xf>
    <xf numFmtId="0" fontId="4" fillId="7" borderId="11" xfId="0" applyFont="1" applyFill="1" applyBorder="1" applyAlignment="1">
      <alignment horizontal="center" vertical="center" wrapText="1"/>
    </xf>
    <xf numFmtId="0" fontId="4" fillId="7" borderId="7" xfId="0" applyFont="1" applyFill="1" applyBorder="1" applyAlignment="1">
      <alignment horizontal="center" vertical="center" wrapText="1"/>
    </xf>
    <xf numFmtId="1" fontId="4" fillId="7" borderId="76" xfId="4" applyNumberFormat="1" applyFont="1" applyFill="1" applyBorder="1" applyAlignment="1">
      <alignment horizontal="center" vertical="center" wrapText="1"/>
    </xf>
    <xf numFmtId="1" fontId="4" fillId="7" borderId="77" xfId="4" applyNumberFormat="1" applyFont="1" applyFill="1" applyBorder="1" applyAlignment="1">
      <alignment horizontal="center" vertical="center" wrapText="1"/>
    </xf>
    <xf numFmtId="1" fontId="4" fillId="7" borderId="78" xfId="4" applyNumberFormat="1" applyFont="1" applyFill="1" applyBorder="1" applyAlignment="1">
      <alignment horizontal="center" vertical="center" wrapText="1"/>
    </xf>
    <xf numFmtId="0" fontId="4" fillId="8" borderId="52" xfId="0" applyFont="1" applyFill="1" applyBorder="1" applyAlignment="1">
      <alignment horizontal="center" vertical="center" wrapText="1"/>
    </xf>
    <xf numFmtId="0" fontId="4" fillId="8" borderId="53" xfId="0" applyFont="1" applyFill="1" applyBorder="1" applyAlignment="1">
      <alignment horizontal="center" vertical="center" wrapText="1"/>
    </xf>
    <xf numFmtId="0" fontId="4" fillId="8" borderId="54" xfId="0" applyFont="1" applyFill="1" applyBorder="1" applyAlignment="1">
      <alignment horizontal="center" vertical="center" wrapText="1"/>
    </xf>
    <xf numFmtId="164" fontId="2" fillId="4" borderId="5" xfId="2" applyFont="1" applyFill="1" applyBorder="1" applyAlignment="1">
      <alignment horizontal="center" vertical="center"/>
    </xf>
    <xf numFmtId="164" fontId="2" fillId="4" borderId="6" xfId="2" applyFont="1" applyFill="1" applyBorder="1" applyAlignment="1">
      <alignment horizontal="center" vertical="center"/>
    </xf>
    <xf numFmtId="164" fontId="2" fillId="4" borderId="2" xfId="2" applyFont="1" applyFill="1" applyBorder="1" applyAlignment="1">
      <alignment horizontal="center" vertical="center"/>
    </xf>
    <xf numFmtId="164" fontId="2" fillId="4" borderId="4" xfId="2" applyFont="1" applyFill="1" applyBorder="1" applyAlignment="1">
      <alignment horizontal="center" vertical="center"/>
    </xf>
    <xf numFmtId="0" fontId="2" fillId="5" borderId="7" xfId="0" applyFont="1" applyFill="1" applyBorder="1" applyAlignment="1">
      <alignment horizontal="center" vertical="center"/>
    </xf>
    <xf numFmtId="0" fontId="4" fillId="6" borderId="16" xfId="0" applyFont="1" applyFill="1" applyBorder="1" applyAlignment="1">
      <alignment horizontal="center" vertical="center" wrapText="1"/>
    </xf>
    <xf numFmtId="0" fontId="4" fillId="6" borderId="0" xfId="0" applyFont="1" applyFill="1" applyAlignment="1">
      <alignment horizontal="center" vertical="center" wrapText="1"/>
    </xf>
    <xf numFmtId="0" fontId="4" fillId="7" borderId="16" xfId="0" applyFont="1" applyFill="1" applyBorder="1" applyAlignment="1">
      <alignment horizontal="center" vertical="center" wrapText="1"/>
    </xf>
    <xf numFmtId="0" fontId="4" fillId="7" borderId="0" xfId="0" applyFont="1" applyFill="1" applyAlignment="1">
      <alignment horizontal="center" vertical="center" wrapText="1"/>
    </xf>
    <xf numFmtId="0" fontId="4" fillId="6" borderId="17" xfId="0" applyFont="1" applyFill="1" applyBorder="1" applyAlignment="1">
      <alignment horizontal="center" vertical="center" wrapText="1"/>
    </xf>
    <xf numFmtId="0" fontId="4" fillId="6" borderId="24" xfId="0" applyFont="1" applyFill="1" applyBorder="1" applyAlignment="1">
      <alignment horizontal="center" vertical="center" wrapText="1"/>
    </xf>
    <xf numFmtId="0" fontId="4" fillId="6" borderId="18" xfId="0" applyFont="1" applyFill="1" applyBorder="1" applyAlignment="1">
      <alignment horizontal="center" vertical="center" wrapText="1"/>
    </xf>
    <xf numFmtId="0" fontId="4" fillId="6" borderId="25" xfId="0" applyFont="1" applyFill="1" applyBorder="1" applyAlignment="1">
      <alignment horizontal="center" vertical="center" wrapText="1"/>
    </xf>
    <xf numFmtId="165" fontId="4" fillId="7" borderId="19" xfId="2" applyNumberFormat="1"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28" xfId="0" applyFont="1" applyFill="1" applyBorder="1" applyAlignment="1">
      <alignment horizontal="center" vertical="center" wrapText="1"/>
    </xf>
    <xf numFmtId="0" fontId="4" fillId="6" borderId="26" xfId="0" applyFont="1" applyFill="1" applyBorder="1" applyAlignment="1">
      <alignment horizontal="center" vertical="center" wrapText="1"/>
    </xf>
    <xf numFmtId="0" fontId="4" fillId="6" borderId="32" xfId="0" applyFont="1" applyFill="1" applyBorder="1" applyAlignment="1">
      <alignment horizontal="center" vertical="center" wrapText="1"/>
    </xf>
    <xf numFmtId="0" fontId="4" fillId="6" borderId="33" xfId="0" applyFont="1" applyFill="1" applyBorder="1" applyAlignment="1">
      <alignment horizontal="center" vertical="center" wrapText="1"/>
    </xf>
    <xf numFmtId="0" fontId="4" fillId="6" borderId="36" xfId="0" applyFont="1" applyFill="1" applyBorder="1" applyAlignment="1">
      <alignment horizontal="center" vertical="center"/>
    </xf>
    <xf numFmtId="0" fontId="4" fillId="6" borderId="38" xfId="0" applyFont="1" applyFill="1" applyBorder="1" applyAlignment="1">
      <alignment horizontal="center" vertical="center"/>
    </xf>
    <xf numFmtId="0" fontId="4" fillId="6" borderId="42" xfId="0" applyFont="1" applyFill="1" applyBorder="1" applyAlignment="1">
      <alignment horizontal="center" vertical="center"/>
    </xf>
    <xf numFmtId="0" fontId="7" fillId="7" borderId="23" xfId="0" applyFont="1" applyFill="1" applyBorder="1" applyAlignment="1">
      <alignment horizontal="center" vertical="center" wrapText="1"/>
    </xf>
    <xf numFmtId="0" fontId="7" fillId="7" borderId="29" xfId="0" applyFont="1" applyFill="1" applyBorder="1" applyAlignment="1">
      <alignment horizontal="center" vertical="center" wrapText="1"/>
    </xf>
    <xf numFmtId="0" fontId="7" fillId="7" borderId="22" xfId="0" applyFont="1" applyFill="1" applyBorder="1" applyAlignment="1">
      <alignment horizontal="center" vertical="center" wrapText="1"/>
    </xf>
    <xf numFmtId="0" fontId="7" fillId="7" borderId="28" xfId="0" applyFont="1" applyFill="1" applyBorder="1" applyAlignment="1">
      <alignment horizontal="center" vertical="center" wrapText="1"/>
    </xf>
    <xf numFmtId="9" fontId="7" fillId="7" borderId="22" xfId="4" applyFont="1" applyFill="1" applyBorder="1" applyAlignment="1">
      <alignment horizontal="center" vertical="center" wrapText="1"/>
    </xf>
    <xf numFmtId="9" fontId="7" fillId="7" borderId="28" xfId="4" applyFont="1" applyFill="1" applyBorder="1" applyAlignment="1">
      <alignment horizontal="center" vertical="center" wrapText="1"/>
    </xf>
    <xf numFmtId="0" fontId="4" fillId="8" borderId="20" xfId="0" applyFont="1" applyFill="1" applyBorder="1" applyAlignment="1">
      <alignment horizontal="center" vertical="center" wrapText="1"/>
    </xf>
    <xf numFmtId="0" fontId="4" fillId="8" borderId="21" xfId="0" applyFont="1" applyFill="1" applyBorder="1" applyAlignment="1">
      <alignment horizontal="center" vertical="center" wrapText="1"/>
    </xf>
    <xf numFmtId="0" fontId="4" fillId="8" borderId="34" xfId="0" applyFont="1" applyFill="1" applyBorder="1" applyAlignment="1">
      <alignment horizontal="center" vertical="center" wrapText="1"/>
    </xf>
    <xf numFmtId="0" fontId="7" fillId="8" borderId="20" xfId="0" applyFont="1" applyFill="1" applyBorder="1" applyAlignment="1">
      <alignment horizontal="center" vertical="center" wrapText="1"/>
    </xf>
    <xf numFmtId="0" fontId="7" fillId="8" borderId="21" xfId="0" applyFont="1" applyFill="1" applyBorder="1" applyAlignment="1">
      <alignment horizontal="center" vertical="center" wrapText="1"/>
    </xf>
    <xf numFmtId="0" fontId="7" fillId="8" borderId="34" xfId="0" applyFont="1" applyFill="1" applyBorder="1" applyAlignment="1">
      <alignment horizontal="center" vertical="center" wrapText="1"/>
    </xf>
    <xf numFmtId="9" fontId="4" fillId="7" borderId="22" xfId="4" applyFont="1" applyFill="1" applyBorder="1" applyAlignment="1">
      <alignment horizontal="center" vertical="center" wrapText="1"/>
    </xf>
    <xf numFmtId="9" fontId="4" fillId="7" borderId="28" xfId="4" applyFont="1" applyFill="1" applyBorder="1" applyAlignment="1">
      <alignment horizontal="center" vertical="center" wrapText="1"/>
    </xf>
    <xf numFmtId="0" fontId="4" fillId="7" borderId="23" xfId="0" applyFont="1" applyFill="1" applyBorder="1" applyAlignment="1">
      <alignment horizontal="center" vertical="center" wrapText="1"/>
    </xf>
    <xf numFmtId="0" fontId="4" fillId="7" borderId="29" xfId="0" applyFont="1" applyFill="1" applyBorder="1" applyAlignment="1">
      <alignment horizontal="center" vertical="center" wrapText="1"/>
    </xf>
    <xf numFmtId="0" fontId="4" fillId="6" borderId="37" xfId="0" applyFont="1" applyFill="1" applyBorder="1" applyAlignment="1">
      <alignment horizontal="center" vertical="center"/>
    </xf>
    <xf numFmtId="0" fontId="4" fillId="6" borderId="39" xfId="0" applyFont="1" applyFill="1" applyBorder="1" applyAlignment="1">
      <alignment horizontal="center" vertical="center"/>
    </xf>
    <xf numFmtId="0" fontId="4" fillId="6" borderId="43" xfId="0" applyFont="1" applyFill="1" applyBorder="1" applyAlignment="1">
      <alignment horizontal="center" vertical="center"/>
    </xf>
    <xf numFmtId="9" fontId="4" fillId="6" borderId="37" xfId="4" applyFont="1" applyFill="1" applyBorder="1" applyAlignment="1">
      <alignment horizontal="center" vertical="center"/>
    </xf>
    <xf numFmtId="9" fontId="4" fillId="6" borderId="39" xfId="4" applyFont="1" applyFill="1" applyBorder="1" applyAlignment="1">
      <alignment horizontal="center" vertical="center"/>
    </xf>
    <xf numFmtId="9" fontId="4" fillId="6" borderId="43" xfId="4" applyFont="1" applyFill="1" applyBorder="1" applyAlignment="1">
      <alignment horizontal="center" vertical="center"/>
    </xf>
    <xf numFmtId="0" fontId="4" fillId="6" borderId="37" xfId="0" applyFont="1" applyFill="1" applyBorder="1" applyAlignment="1">
      <alignment horizontal="center" vertical="center" wrapText="1"/>
    </xf>
    <xf numFmtId="0" fontId="4" fillId="6" borderId="39" xfId="0" applyFont="1" applyFill="1" applyBorder="1" applyAlignment="1">
      <alignment horizontal="center" vertical="center" wrapText="1"/>
    </xf>
    <xf numFmtId="0" fontId="4" fillId="6" borderId="43" xfId="0" applyFont="1" applyFill="1" applyBorder="1" applyAlignment="1">
      <alignment horizontal="center" vertical="center" wrapText="1"/>
    </xf>
    <xf numFmtId="0" fontId="7" fillId="6" borderId="36" xfId="0" applyFont="1" applyFill="1" applyBorder="1" applyAlignment="1">
      <alignment horizontal="center" vertical="center"/>
    </xf>
    <xf numFmtId="0" fontId="7" fillId="6" borderId="38" xfId="0" applyFont="1" applyFill="1" applyBorder="1" applyAlignment="1">
      <alignment horizontal="center" vertical="center"/>
    </xf>
    <xf numFmtId="0" fontId="7" fillId="6" borderId="42" xfId="0" applyFont="1" applyFill="1" applyBorder="1" applyAlignment="1">
      <alignment horizontal="center" vertical="center"/>
    </xf>
    <xf numFmtId="0" fontId="7" fillId="6" borderId="37" xfId="0" applyFont="1" applyFill="1" applyBorder="1" applyAlignment="1">
      <alignment horizontal="center" vertical="center"/>
    </xf>
    <xf numFmtId="0" fontId="7" fillId="6" borderId="39" xfId="0" applyFont="1" applyFill="1" applyBorder="1" applyAlignment="1">
      <alignment horizontal="center" vertical="center"/>
    </xf>
    <xf numFmtId="0" fontId="7" fillId="6" borderId="43" xfId="0" applyFont="1" applyFill="1" applyBorder="1" applyAlignment="1">
      <alignment horizontal="center" vertical="center"/>
    </xf>
    <xf numFmtId="9" fontId="7" fillId="6" borderId="37" xfId="4" applyFont="1" applyFill="1" applyBorder="1" applyAlignment="1">
      <alignment horizontal="center" vertical="center"/>
    </xf>
    <xf numFmtId="9" fontId="7" fillId="6" borderId="39" xfId="4" applyFont="1" applyFill="1" applyBorder="1" applyAlignment="1">
      <alignment horizontal="center" vertical="center"/>
    </xf>
    <xf numFmtId="9" fontId="7" fillId="6" borderId="43" xfId="4" applyFont="1" applyFill="1" applyBorder="1" applyAlignment="1">
      <alignment horizontal="center" vertical="center"/>
    </xf>
    <xf numFmtId="0" fontId="7" fillId="6" borderId="37" xfId="0" applyFont="1" applyFill="1" applyBorder="1" applyAlignment="1">
      <alignment horizontal="center" vertical="center" wrapText="1"/>
    </xf>
    <xf numFmtId="0" fontId="7" fillId="6" borderId="39" xfId="0" applyFont="1" applyFill="1" applyBorder="1" applyAlignment="1">
      <alignment horizontal="center" vertical="center" wrapText="1"/>
    </xf>
    <xf numFmtId="0" fontId="7" fillId="6" borderId="43" xfId="0" applyFont="1" applyFill="1" applyBorder="1" applyAlignment="1">
      <alignment horizontal="center" vertical="center" wrapText="1"/>
    </xf>
    <xf numFmtId="0" fontId="8" fillId="9" borderId="26"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6" borderId="45" xfId="0" applyFont="1" applyFill="1" applyBorder="1" applyAlignment="1">
      <alignment horizontal="center" vertical="center" wrapText="1"/>
    </xf>
    <xf numFmtId="0" fontId="4" fillId="6" borderId="47" xfId="0" applyFont="1" applyFill="1" applyBorder="1" applyAlignment="1">
      <alignment horizontal="center" vertical="center" wrapText="1"/>
    </xf>
    <xf numFmtId="0" fontId="7" fillId="6" borderId="46" xfId="0" applyFont="1" applyFill="1" applyBorder="1" applyAlignment="1">
      <alignment horizontal="center" vertical="center" wrapText="1"/>
    </xf>
    <xf numFmtId="9" fontId="7" fillId="6" borderId="46" xfId="4" applyFont="1" applyFill="1" applyBorder="1" applyAlignment="1">
      <alignment horizontal="center" vertical="center" wrapText="1"/>
    </xf>
    <xf numFmtId="0" fontId="10" fillId="9" borderId="30" xfId="0" applyFont="1" applyFill="1" applyBorder="1" applyAlignment="1">
      <alignment horizontal="center" vertical="center" wrapText="1"/>
    </xf>
    <xf numFmtId="0" fontId="10" fillId="9" borderId="26"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7" borderId="48" xfId="0" applyFont="1" applyFill="1" applyBorder="1" applyAlignment="1">
      <alignment horizontal="center" vertical="center" wrapText="1"/>
    </xf>
    <xf numFmtId="0" fontId="4" fillId="7" borderId="35" xfId="0" applyFont="1" applyFill="1" applyBorder="1" applyAlignment="1">
      <alignment horizontal="center" vertical="center" wrapText="1"/>
    </xf>
    <xf numFmtId="165" fontId="4" fillId="6" borderId="0" xfId="2" applyNumberFormat="1" applyFont="1" applyFill="1" applyAlignment="1">
      <alignment horizontal="center" vertical="center" wrapText="1"/>
    </xf>
    <xf numFmtId="165" fontId="4" fillId="6" borderId="19" xfId="2" applyNumberFormat="1" applyFont="1" applyFill="1" applyBorder="1" applyAlignment="1">
      <alignment horizontal="center" vertical="center" wrapText="1"/>
    </xf>
    <xf numFmtId="0" fontId="4" fillId="6" borderId="50" xfId="0" applyFont="1" applyFill="1" applyBorder="1" applyAlignment="1">
      <alignment horizontal="center" vertical="center" wrapText="1"/>
    </xf>
    <xf numFmtId="0" fontId="4" fillId="6" borderId="51" xfId="0" applyFont="1" applyFill="1" applyBorder="1" applyAlignment="1">
      <alignment horizontal="center" vertical="center" wrapText="1"/>
    </xf>
    <xf numFmtId="9" fontId="7" fillId="6" borderId="46" xfId="0" applyNumberFormat="1" applyFont="1" applyFill="1" applyBorder="1" applyAlignment="1">
      <alignment horizontal="center" vertical="center" wrapText="1"/>
    </xf>
    <xf numFmtId="165" fontId="4" fillId="7" borderId="16" xfId="2" applyNumberFormat="1" applyFont="1" applyFill="1" applyBorder="1" applyAlignment="1">
      <alignment horizontal="center" vertical="center" wrapText="1"/>
    </xf>
    <xf numFmtId="165" fontId="4" fillId="7" borderId="0" xfId="2" applyNumberFormat="1" applyFont="1" applyFill="1" applyAlignment="1">
      <alignment horizontal="center" vertical="center" wrapText="1"/>
    </xf>
    <xf numFmtId="9" fontId="4" fillId="6" borderId="46" xfId="0" applyNumberFormat="1" applyFont="1" applyFill="1" applyBorder="1" applyAlignment="1">
      <alignment horizontal="center" vertical="center" wrapText="1"/>
    </xf>
    <xf numFmtId="0" fontId="4" fillId="7" borderId="49" xfId="0" applyFont="1" applyFill="1" applyBorder="1" applyAlignment="1">
      <alignment horizontal="center" vertical="center" wrapText="1"/>
    </xf>
    <xf numFmtId="0" fontId="4" fillId="7" borderId="47" xfId="0" applyFont="1" applyFill="1" applyBorder="1" applyAlignment="1">
      <alignment horizontal="center" vertical="center" wrapText="1"/>
    </xf>
    <xf numFmtId="0" fontId="7" fillId="7" borderId="46" xfId="0" applyFont="1" applyFill="1" applyBorder="1" applyAlignment="1">
      <alignment horizontal="center" vertical="center" wrapText="1"/>
    </xf>
    <xf numFmtId="9" fontId="7" fillId="7" borderId="46" xfId="4" applyFont="1" applyFill="1" applyBorder="1" applyAlignment="1">
      <alignment horizontal="center" vertical="center" wrapText="1"/>
    </xf>
    <xf numFmtId="9" fontId="4" fillId="6" borderId="46" xfId="4" applyFont="1" applyFill="1" applyBorder="1" applyAlignment="1">
      <alignment horizontal="center" vertical="center"/>
    </xf>
    <xf numFmtId="165" fontId="4" fillId="6" borderId="46" xfId="2" applyNumberFormat="1" applyFont="1" applyFill="1" applyBorder="1" applyAlignment="1">
      <alignment horizontal="center" vertical="center" wrapText="1"/>
    </xf>
    <xf numFmtId="165" fontId="4" fillId="6" borderId="46" xfId="2" applyNumberFormat="1" applyFont="1" applyFill="1" applyBorder="1" applyAlignment="1">
      <alignment horizontal="center" vertical="center"/>
    </xf>
    <xf numFmtId="0" fontId="4" fillId="6" borderId="46" xfId="0" applyFont="1" applyFill="1" applyBorder="1" applyAlignment="1">
      <alignment horizontal="center" vertical="center"/>
    </xf>
    <xf numFmtId="165" fontId="4" fillId="7" borderId="46" xfId="2" applyNumberFormat="1" applyFont="1" applyFill="1" applyBorder="1" applyAlignment="1">
      <alignment horizontal="center" vertical="center" wrapText="1"/>
    </xf>
    <xf numFmtId="0" fontId="7" fillId="6" borderId="46" xfId="0" applyFont="1" applyFill="1" applyBorder="1" applyAlignment="1">
      <alignment horizontal="center" vertical="center"/>
    </xf>
    <xf numFmtId="9" fontId="7" fillId="6" borderId="46" xfId="4" applyFont="1" applyFill="1" applyBorder="1" applyAlignment="1">
      <alignment horizontal="center" vertical="center"/>
    </xf>
    <xf numFmtId="0" fontId="7" fillId="8" borderId="52" xfId="0" applyFont="1" applyFill="1" applyBorder="1" applyAlignment="1">
      <alignment horizontal="center" vertical="center" wrapText="1"/>
    </xf>
    <xf numFmtId="0" fontId="7" fillId="8" borderId="53" xfId="0" applyFont="1" applyFill="1" applyBorder="1" applyAlignment="1">
      <alignment horizontal="center" vertical="center" wrapText="1"/>
    </xf>
    <xf numFmtId="0" fontId="7" fillId="8" borderId="54" xfId="0" applyFont="1" applyFill="1" applyBorder="1" applyAlignment="1">
      <alignment horizontal="center" vertical="center" wrapText="1"/>
    </xf>
    <xf numFmtId="0" fontId="4" fillId="8" borderId="55" xfId="0" applyFont="1" applyFill="1" applyBorder="1" applyAlignment="1">
      <alignment horizontal="center" vertical="center"/>
    </xf>
    <xf numFmtId="0" fontId="4" fillId="8" borderId="3" xfId="0" applyFont="1" applyFill="1" applyBorder="1" applyAlignment="1">
      <alignment horizontal="center" vertical="center"/>
    </xf>
    <xf numFmtId="0" fontId="7" fillId="8" borderId="55" xfId="0" applyFont="1" applyFill="1" applyBorder="1" applyAlignment="1">
      <alignment horizontal="center" vertical="center"/>
    </xf>
    <xf numFmtId="0" fontId="7" fillId="8" borderId="3" xfId="0" applyFont="1" applyFill="1" applyBorder="1" applyAlignment="1">
      <alignment horizontal="center" vertical="center"/>
    </xf>
    <xf numFmtId="0" fontId="4" fillId="8" borderId="44"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56" xfId="0" applyFont="1" applyFill="1" applyBorder="1" applyAlignment="1">
      <alignment horizontal="center" vertical="center" wrapText="1"/>
    </xf>
    <xf numFmtId="0" fontId="7" fillId="8" borderId="44" xfId="0" applyFont="1" applyFill="1" applyBorder="1" applyAlignment="1">
      <alignment horizontal="center" vertical="center" wrapText="1"/>
    </xf>
    <xf numFmtId="0" fontId="7" fillId="8" borderId="16" xfId="0" applyFont="1" applyFill="1" applyBorder="1" applyAlignment="1">
      <alignment horizontal="center" vertical="center" wrapText="1"/>
    </xf>
    <xf numFmtId="0" fontId="7" fillId="8" borderId="56" xfId="0" applyFont="1" applyFill="1" applyBorder="1" applyAlignment="1">
      <alignment horizontal="center" vertical="center" wrapText="1"/>
    </xf>
    <xf numFmtId="0" fontId="4" fillId="8" borderId="46" xfId="0" applyFont="1" applyFill="1" applyBorder="1" applyAlignment="1">
      <alignment horizontal="center" vertical="center" wrapText="1"/>
    </xf>
    <xf numFmtId="0" fontId="4" fillId="8" borderId="46" xfId="0" applyFont="1" applyFill="1" applyBorder="1" applyAlignment="1">
      <alignment horizontal="center" vertical="center"/>
    </xf>
    <xf numFmtId="0" fontId="7" fillId="8" borderId="46" xfId="0" applyFont="1" applyFill="1" applyBorder="1" applyAlignment="1">
      <alignment horizontal="center" vertical="center"/>
    </xf>
    <xf numFmtId="0" fontId="7" fillId="8" borderId="46" xfId="0" applyFont="1" applyFill="1" applyBorder="1" applyAlignment="1">
      <alignment horizontal="center" vertical="center" wrapText="1"/>
    </xf>
    <xf numFmtId="0" fontId="4" fillId="8" borderId="52" xfId="0" applyFont="1" applyFill="1" applyBorder="1" applyAlignment="1">
      <alignment horizontal="center" vertical="center"/>
    </xf>
    <xf numFmtId="0" fontId="4" fillId="8" borderId="53" xfId="0" applyFont="1" applyFill="1" applyBorder="1" applyAlignment="1">
      <alignment horizontal="center" vertical="center"/>
    </xf>
    <xf numFmtId="0" fontId="4" fillId="8" borderId="54" xfId="0" applyFont="1" applyFill="1" applyBorder="1" applyAlignment="1">
      <alignment horizontal="center" vertical="center"/>
    </xf>
    <xf numFmtId="0" fontId="7" fillId="8" borderId="52" xfId="0" applyFont="1" applyFill="1" applyBorder="1" applyAlignment="1">
      <alignment horizontal="center" vertical="center"/>
    </xf>
    <xf numFmtId="0" fontId="7" fillId="8" borderId="53" xfId="0" applyFont="1" applyFill="1" applyBorder="1" applyAlignment="1">
      <alignment horizontal="center" vertical="center"/>
    </xf>
    <xf numFmtId="0" fontId="7" fillId="8" borderId="54" xfId="0" applyFont="1" applyFill="1" applyBorder="1" applyAlignment="1">
      <alignment horizontal="center" vertical="center"/>
    </xf>
    <xf numFmtId="0" fontId="4" fillId="7" borderId="12"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5" xfId="0" applyFont="1" applyFill="1" applyBorder="1" applyAlignment="1">
      <alignment horizontal="center" vertical="center"/>
    </xf>
    <xf numFmtId="0" fontId="4" fillId="7" borderId="56"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6" borderId="7" xfId="0" applyFont="1" applyFill="1" applyBorder="1" applyAlignment="1">
      <alignment horizontal="center" vertical="center"/>
    </xf>
    <xf numFmtId="0" fontId="4" fillId="6" borderId="7" xfId="0" applyFont="1" applyFill="1" applyBorder="1" applyAlignment="1">
      <alignment horizontal="center" vertical="center" wrapText="1"/>
    </xf>
    <xf numFmtId="0" fontId="4" fillId="6" borderId="5" xfId="0" applyFont="1" applyFill="1" applyBorder="1" applyAlignment="1">
      <alignment horizontal="center" vertical="center"/>
    </xf>
    <xf numFmtId="0" fontId="4" fillId="7" borderId="0" xfId="0" applyFont="1" applyFill="1" applyAlignment="1">
      <alignment horizontal="center" vertical="center"/>
    </xf>
    <xf numFmtId="9" fontId="4" fillId="7" borderId="0" xfId="4" applyFont="1" applyFill="1" applyAlignment="1">
      <alignment horizontal="center" vertical="center"/>
    </xf>
    <xf numFmtId="0" fontId="4" fillId="7" borderId="58" xfId="0" applyFont="1" applyFill="1" applyBorder="1" applyAlignment="1">
      <alignment horizontal="center" vertical="center" wrapText="1"/>
    </xf>
    <xf numFmtId="168" fontId="4" fillId="6" borderId="0" xfId="7" applyFont="1" applyFill="1" applyAlignment="1">
      <alignment horizontal="center" vertical="center"/>
    </xf>
    <xf numFmtId="0" fontId="4" fillId="6" borderId="0" xfId="0" applyFont="1" applyFill="1" applyAlignment="1">
      <alignment horizontal="center" vertical="center"/>
    </xf>
    <xf numFmtId="9" fontId="4" fillId="6" borderId="0" xfId="4" applyFont="1" applyFill="1" applyAlignment="1">
      <alignment horizontal="center" vertical="center"/>
    </xf>
    <xf numFmtId="167" fontId="13" fillId="7" borderId="16" xfId="0" applyNumberFormat="1" applyFont="1" applyFill="1" applyBorder="1" applyAlignment="1">
      <alignment horizontal="center" vertical="center"/>
    </xf>
    <xf numFmtId="167" fontId="13" fillId="7" borderId="0" xfId="0" applyNumberFormat="1" applyFont="1" applyFill="1" applyAlignment="1">
      <alignment horizontal="center" vertical="center"/>
    </xf>
    <xf numFmtId="167" fontId="13" fillId="7" borderId="44" xfId="6" applyFont="1" applyFill="1" applyBorder="1" applyAlignment="1">
      <alignment horizontal="center" vertical="center"/>
    </xf>
    <xf numFmtId="167" fontId="13" fillId="7" borderId="5" xfId="6" applyFont="1" applyFill="1" applyBorder="1" applyAlignment="1">
      <alignment horizontal="center" vertical="center"/>
    </xf>
    <xf numFmtId="0" fontId="4" fillId="6" borderId="58"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4" fillId="6" borderId="12" xfId="0" applyFont="1" applyFill="1" applyBorder="1" applyAlignment="1">
      <alignment horizontal="center" vertical="center" wrapText="1"/>
    </xf>
    <xf numFmtId="10" fontId="4" fillId="6" borderId="0" xfId="0" applyNumberFormat="1" applyFont="1" applyFill="1" applyAlignment="1">
      <alignment horizontal="center" vertical="center"/>
    </xf>
    <xf numFmtId="0" fontId="4" fillId="6" borderId="11" xfId="0" applyFont="1" applyFill="1" applyBorder="1" applyAlignment="1">
      <alignment horizontal="center" vertical="center"/>
    </xf>
    <xf numFmtId="0" fontId="4" fillId="6" borderId="12" xfId="0" applyFont="1" applyFill="1" applyBorder="1" applyAlignment="1">
      <alignment horizontal="center" vertical="center"/>
    </xf>
    <xf numFmtId="0" fontId="4" fillId="6" borderId="6"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4" fillId="6" borderId="16" xfId="0" applyFont="1" applyFill="1" applyBorder="1" applyAlignment="1">
      <alignment horizontal="center" vertical="center"/>
    </xf>
    <xf numFmtId="1" fontId="4" fillId="6" borderId="56" xfId="4" applyNumberFormat="1" applyFont="1" applyFill="1" applyBorder="1" applyAlignment="1">
      <alignment horizontal="center" vertical="center"/>
    </xf>
    <xf numFmtId="1" fontId="4" fillId="6" borderId="6" xfId="4" applyNumberFormat="1" applyFont="1" applyFill="1" applyBorder="1" applyAlignment="1">
      <alignment horizontal="center" vertical="center"/>
    </xf>
    <xf numFmtId="0" fontId="4" fillId="7" borderId="11" xfId="0" applyFont="1" applyFill="1" applyBorder="1" applyAlignment="1">
      <alignment horizontal="left" vertical="center" wrapText="1"/>
    </xf>
    <xf numFmtId="0" fontId="4" fillId="7" borderId="12" xfId="0" applyFont="1" applyFill="1" applyBorder="1" applyAlignment="1">
      <alignment horizontal="left" vertical="center" wrapText="1"/>
    </xf>
    <xf numFmtId="0" fontId="4" fillId="7" borderId="79" xfId="0" applyFont="1" applyFill="1" applyBorder="1" applyAlignment="1">
      <alignment horizontal="center" vertical="center" wrapText="1"/>
    </xf>
    <xf numFmtId="0" fontId="3" fillId="2" borderId="0" xfId="0" applyFont="1" applyFill="1" applyAlignment="1">
      <alignment horizontal="center" vertical="center" wrapText="1"/>
    </xf>
    <xf numFmtId="9" fontId="4" fillId="6" borderId="76" xfId="4" applyFont="1" applyFill="1" applyBorder="1" applyAlignment="1">
      <alignment horizontal="center" vertical="center" wrapText="1"/>
    </xf>
    <xf numFmtId="9" fontId="4" fillId="6" borderId="77" xfId="4" applyFont="1" applyFill="1" applyBorder="1" applyAlignment="1">
      <alignment horizontal="center" vertical="center" wrapText="1"/>
    </xf>
    <xf numFmtId="9" fontId="4" fillId="6" borderId="78" xfId="4" applyFont="1" applyFill="1" applyBorder="1" applyAlignment="1">
      <alignment horizontal="center" vertical="center" wrapText="1"/>
    </xf>
    <xf numFmtId="9" fontId="4" fillId="6" borderId="80" xfId="4" applyFont="1" applyFill="1" applyBorder="1" applyAlignment="1">
      <alignment horizontal="center" vertical="center" wrapText="1"/>
    </xf>
    <xf numFmtId="171" fontId="4" fillId="6" borderId="76" xfId="5" applyNumberFormat="1" applyFont="1" applyFill="1" applyBorder="1" applyAlignment="1">
      <alignment horizontal="center" vertical="center" wrapText="1"/>
    </xf>
    <xf numFmtId="171" fontId="4" fillId="6" borderId="77" xfId="5" applyNumberFormat="1" applyFont="1" applyFill="1" applyBorder="1" applyAlignment="1">
      <alignment horizontal="center" vertical="center" wrapText="1"/>
    </xf>
    <xf numFmtId="171" fontId="4" fillId="6" borderId="78" xfId="5" applyNumberFormat="1" applyFont="1" applyFill="1" applyBorder="1" applyAlignment="1">
      <alignment horizontal="center" vertical="center" wrapText="1"/>
    </xf>
    <xf numFmtId="0" fontId="4" fillId="6" borderId="30" xfId="0" applyFont="1" applyFill="1" applyBorder="1" applyAlignment="1">
      <alignment horizontal="center" vertical="center" wrapText="1"/>
    </xf>
    <xf numFmtId="171" fontId="4" fillId="7" borderId="76" xfId="5" applyNumberFormat="1" applyFont="1" applyFill="1" applyBorder="1" applyAlignment="1">
      <alignment horizontal="center" vertical="center" wrapText="1"/>
    </xf>
    <xf numFmtId="171" fontId="4" fillId="7" borderId="77" xfId="5" applyNumberFormat="1" applyFont="1" applyFill="1" applyBorder="1" applyAlignment="1">
      <alignment horizontal="center" vertical="center" wrapText="1"/>
    </xf>
    <xf numFmtId="171" fontId="4" fillId="7" borderId="78" xfId="5" applyNumberFormat="1" applyFont="1" applyFill="1" applyBorder="1" applyAlignment="1">
      <alignment horizontal="center" vertical="center" wrapText="1"/>
    </xf>
    <xf numFmtId="167" fontId="15" fillId="7" borderId="16" xfId="6" applyFont="1" applyFill="1" applyBorder="1" applyAlignment="1">
      <alignment horizontal="center" vertical="center" wrapText="1"/>
    </xf>
    <xf numFmtId="167" fontId="15" fillId="7" borderId="0" xfId="6" applyFont="1" applyFill="1" applyAlignment="1">
      <alignment horizontal="center" vertical="center" wrapText="1"/>
    </xf>
    <xf numFmtId="0" fontId="2" fillId="4" borderId="64" xfId="0" applyFont="1" applyFill="1" applyBorder="1" applyAlignment="1">
      <alignment horizontal="center" vertical="center" wrapText="1"/>
    </xf>
    <xf numFmtId="0" fontId="2" fillId="4" borderId="65" xfId="0" applyFont="1" applyFill="1" applyBorder="1" applyAlignment="1">
      <alignment horizontal="center" vertical="center" wrapText="1"/>
    </xf>
    <xf numFmtId="0" fontId="2" fillId="4" borderId="66" xfId="0" applyFont="1" applyFill="1" applyBorder="1" applyAlignment="1">
      <alignment horizontal="center" vertical="center" wrapText="1"/>
    </xf>
    <xf numFmtId="0" fontId="2" fillId="4" borderId="67" xfId="0" applyFont="1" applyFill="1" applyBorder="1" applyAlignment="1">
      <alignment horizontal="center" vertical="center" wrapText="1"/>
    </xf>
    <xf numFmtId="0" fontId="2" fillId="4" borderId="68" xfId="0" applyFont="1" applyFill="1" applyBorder="1" applyAlignment="1">
      <alignment horizontal="center" vertical="center" wrapText="1"/>
    </xf>
    <xf numFmtId="165" fontId="4" fillId="6" borderId="76" xfId="2" applyNumberFormat="1" applyFont="1" applyFill="1" applyBorder="1" applyAlignment="1">
      <alignment horizontal="center" vertical="center" wrapText="1"/>
    </xf>
    <xf numFmtId="165" fontId="4" fillId="6" borderId="78" xfId="2" applyNumberFormat="1" applyFont="1" applyFill="1" applyBorder="1" applyAlignment="1">
      <alignment horizontal="center" vertical="center" wrapText="1"/>
    </xf>
    <xf numFmtId="9" fontId="4" fillId="7" borderId="48" xfId="4" applyFont="1" applyFill="1" applyBorder="1" applyAlignment="1">
      <alignment horizontal="center" vertical="center" wrapText="1"/>
    </xf>
    <xf numFmtId="9" fontId="4" fillId="7" borderId="79" xfId="4" applyFont="1" applyFill="1" applyBorder="1" applyAlignment="1">
      <alignment horizontal="center" vertical="center" wrapText="1"/>
    </xf>
    <xf numFmtId="9" fontId="4" fillId="7" borderId="35" xfId="4" applyFont="1" applyFill="1" applyBorder="1" applyAlignment="1">
      <alignment horizontal="center" vertical="center" wrapText="1"/>
    </xf>
    <xf numFmtId="165" fontId="4" fillId="7" borderId="48" xfId="2" applyNumberFormat="1" applyFont="1" applyFill="1" applyBorder="1" applyAlignment="1">
      <alignment horizontal="center" vertical="center" wrapText="1"/>
    </xf>
    <xf numFmtId="165" fontId="4" fillId="7" borderId="79" xfId="2" applyNumberFormat="1" applyFont="1" applyFill="1" applyBorder="1" applyAlignment="1">
      <alignment horizontal="center" vertical="center" wrapText="1"/>
    </xf>
    <xf numFmtId="165" fontId="4" fillId="7" borderId="35" xfId="2" applyNumberFormat="1" applyFont="1" applyFill="1" applyBorder="1" applyAlignment="1">
      <alignment horizontal="center" vertical="center" wrapText="1"/>
    </xf>
    <xf numFmtId="0" fontId="5" fillId="2" borderId="0" xfId="0" applyFont="1" applyFill="1" applyAlignment="1">
      <alignment horizontal="center" vertical="center" wrapText="1"/>
    </xf>
    <xf numFmtId="0" fontId="2" fillId="4" borderId="1" xfId="0" applyFont="1" applyFill="1" applyBorder="1" applyAlignment="1">
      <alignment horizontal="center" vertical="center"/>
    </xf>
    <xf numFmtId="165" fontId="4" fillId="7" borderId="76" xfId="2" applyNumberFormat="1" applyFont="1" applyFill="1" applyBorder="1" applyAlignment="1">
      <alignment horizontal="center" vertical="center" wrapText="1"/>
    </xf>
    <xf numFmtId="165" fontId="4" fillId="7" borderId="77" xfId="2" applyNumberFormat="1" applyFont="1" applyFill="1" applyBorder="1" applyAlignment="1">
      <alignment horizontal="center" vertical="center" wrapText="1"/>
    </xf>
    <xf numFmtId="9" fontId="4" fillId="6" borderId="17" xfId="4" applyFont="1" applyFill="1" applyBorder="1" applyAlignment="1">
      <alignment horizontal="center" vertical="center" wrapText="1"/>
    </xf>
    <xf numFmtId="9" fontId="4" fillId="6" borderId="24" xfId="4" applyFont="1" applyFill="1" applyBorder="1" applyAlignment="1">
      <alignment horizontal="center" vertical="center" wrapText="1"/>
    </xf>
    <xf numFmtId="172" fontId="4" fillId="7" borderId="76" xfId="4" applyNumberFormat="1" applyFont="1" applyFill="1" applyBorder="1" applyAlignment="1">
      <alignment horizontal="center" vertical="center" wrapText="1"/>
    </xf>
    <xf numFmtId="172" fontId="4" fillId="7" borderId="77" xfId="4" applyNumberFormat="1" applyFont="1" applyFill="1" applyBorder="1" applyAlignment="1">
      <alignment horizontal="center" vertical="center" wrapText="1"/>
    </xf>
    <xf numFmtId="9" fontId="4" fillId="7" borderId="11" xfId="0" applyNumberFormat="1" applyFont="1" applyFill="1" applyBorder="1" applyAlignment="1">
      <alignment horizontal="center" vertical="center" wrapText="1"/>
    </xf>
    <xf numFmtId="0" fontId="4" fillId="8" borderId="27" xfId="0" applyFont="1" applyFill="1" applyBorder="1" applyAlignment="1">
      <alignment horizontal="center" vertical="center" wrapText="1"/>
    </xf>
    <xf numFmtId="0" fontId="4" fillId="8" borderId="11" xfId="0" applyFont="1" applyFill="1" applyBorder="1" applyAlignment="1">
      <alignment vertical="center" wrapText="1"/>
    </xf>
    <xf numFmtId="1" fontId="4" fillId="6" borderId="27" xfId="0" applyNumberFormat="1" applyFont="1" applyFill="1" applyBorder="1" applyAlignment="1">
      <alignment horizontal="center" vertical="center"/>
    </xf>
    <xf numFmtId="0" fontId="4" fillId="8" borderId="103" xfId="0" applyFont="1" applyFill="1" applyBorder="1" applyAlignment="1">
      <alignment vertical="center"/>
    </xf>
    <xf numFmtId="0" fontId="4" fillId="8" borderId="27" xfId="0" applyFont="1" applyFill="1" applyBorder="1" applyAlignment="1">
      <alignment vertical="center"/>
    </xf>
    <xf numFmtId="1" fontId="4" fillId="7" borderId="11" xfId="0" applyNumberFormat="1" applyFont="1" applyFill="1" applyBorder="1" applyAlignment="1">
      <alignment vertical="center" wrapText="1"/>
    </xf>
    <xf numFmtId="1" fontId="4" fillId="7" borderId="11" xfId="0" applyNumberFormat="1" applyFont="1" applyFill="1" applyBorder="1" applyAlignment="1">
      <alignment horizontal="center" vertical="center" wrapText="1"/>
    </xf>
    <xf numFmtId="166" fontId="4" fillId="6" borderId="27" xfId="4" applyNumberFormat="1" applyFont="1" applyFill="1" applyBorder="1" applyAlignment="1">
      <alignment horizontal="center" vertical="center"/>
    </xf>
  </cellXfs>
  <cellStyles count="9">
    <cellStyle name="Millares [0]" xfId="1" builtinId="6"/>
    <cellStyle name="Millares [0] 2" xfId="7" xr:uid="{E9F0779A-B6BF-4910-8B8E-DDA6B0BB6987}"/>
    <cellStyle name="Moneda" xfId="2" builtinId="4"/>
    <cellStyle name="Moneda [0]" xfId="3" builtinId="7"/>
    <cellStyle name="Moneda [0] 2" xfId="6" xr:uid="{0357F7C2-9F13-46A0-A7BC-5855DC407DE8}"/>
    <cellStyle name="Moneda [0] 3" xfId="8" xr:uid="{363CFE33-33DB-4D43-B0D7-AAC96A34D38C}"/>
    <cellStyle name="Moneda 2" xfId="5" xr:uid="{66C17CB0-192A-4150-B2CB-16763BFA9357}"/>
    <cellStyle name="Normal" xfId="0" builtinId="0"/>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externalLink" Target="externalLinks/externalLink14.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3.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externalLink" Target="externalLinks/externalLink12.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B0B36265-3FFC-4E63-A864-904D970B9309}"/>
            </a:ext>
          </a:extLst>
        </xdr:cNvPr>
        <xdr:cNvGrpSpPr/>
      </xdr:nvGrpSpPr>
      <xdr:grpSpPr>
        <a:xfrm>
          <a:off x="0" y="0"/>
          <a:ext cx="2813164" cy="942578"/>
          <a:chOff x="228600" y="47625"/>
          <a:chExt cx="2680608" cy="981075"/>
        </a:xfrm>
      </xdr:grpSpPr>
      <xdr:pic>
        <xdr:nvPicPr>
          <xdr:cNvPr id="3" name="Picture 5">
            <a:extLst>
              <a:ext uri="{FF2B5EF4-FFF2-40B4-BE49-F238E27FC236}">
                <a16:creationId xmlns:a16="http://schemas.microsoft.com/office/drawing/2014/main" id="{25A578D3-C2BC-4081-9C37-66D58C7FC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1AC62A11-E999-4F57-9AD1-83191FD216DC}"/>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213633</xdr:colOff>
      <xdr:row>3</xdr:row>
      <xdr:rowOff>0</xdr:rowOff>
    </xdr:to>
    <xdr:grpSp>
      <xdr:nvGrpSpPr>
        <xdr:cNvPr id="5" name="Grupo 4">
          <a:extLst>
            <a:ext uri="{FF2B5EF4-FFF2-40B4-BE49-F238E27FC236}">
              <a16:creationId xmlns:a16="http://schemas.microsoft.com/office/drawing/2014/main" id="{6CA39F9C-2E6C-43A6-8438-FAEFBB2A55B9}"/>
            </a:ext>
          </a:extLst>
        </xdr:cNvPr>
        <xdr:cNvGrpSpPr/>
      </xdr:nvGrpSpPr>
      <xdr:grpSpPr>
        <a:xfrm>
          <a:off x="0" y="0"/>
          <a:ext cx="2813164" cy="942578"/>
          <a:chOff x="228600" y="47625"/>
          <a:chExt cx="2680608" cy="981075"/>
        </a:xfrm>
      </xdr:grpSpPr>
      <xdr:pic>
        <xdr:nvPicPr>
          <xdr:cNvPr id="6" name="Picture 5">
            <a:extLst>
              <a:ext uri="{FF2B5EF4-FFF2-40B4-BE49-F238E27FC236}">
                <a16:creationId xmlns:a16="http://schemas.microsoft.com/office/drawing/2014/main" id="{5E76DF6A-B60E-427D-A8CE-5DAD49AB2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0539E73A-5FE0-4332-8939-A47D04AB9275}"/>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7F86D1AA-541C-4A8E-B759-8BD26F052A71}"/>
            </a:ext>
          </a:extLst>
        </xdr:cNvPr>
        <xdr:cNvGrpSpPr/>
      </xdr:nvGrpSpPr>
      <xdr:grpSpPr>
        <a:xfrm>
          <a:off x="0" y="0"/>
          <a:ext cx="3290208" cy="952500"/>
          <a:chOff x="228600" y="47625"/>
          <a:chExt cx="2680608" cy="981075"/>
        </a:xfrm>
      </xdr:grpSpPr>
      <xdr:pic>
        <xdr:nvPicPr>
          <xdr:cNvPr id="3" name="Picture 5">
            <a:extLst>
              <a:ext uri="{FF2B5EF4-FFF2-40B4-BE49-F238E27FC236}">
                <a16:creationId xmlns:a16="http://schemas.microsoft.com/office/drawing/2014/main" id="{65F5400A-6E77-42F1-A503-96410336C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218D4CE9-B66D-4AB7-9C4F-47E6C7913EA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9525</xdr:colOff>
      <xdr:row>0</xdr:row>
      <xdr:rowOff>76200</xdr:rowOff>
    </xdr:from>
    <xdr:to>
      <xdr:col>2</xdr:col>
      <xdr:colOff>223158</xdr:colOff>
      <xdr:row>3</xdr:row>
      <xdr:rowOff>0</xdr:rowOff>
    </xdr:to>
    <xdr:grpSp>
      <xdr:nvGrpSpPr>
        <xdr:cNvPr id="5" name="Grupo 4">
          <a:extLst>
            <a:ext uri="{FF2B5EF4-FFF2-40B4-BE49-F238E27FC236}">
              <a16:creationId xmlns:a16="http://schemas.microsoft.com/office/drawing/2014/main" id="{3F875964-AA9B-47E2-915A-1C49F0A738E8}"/>
            </a:ext>
          </a:extLst>
        </xdr:cNvPr>
        <xdr:cNvGrpSpPr/>
      </xdr:nvGrpSpPr>
      <xdr:grpSpPr>
        <a:xfrm>
          <a:off x="9525" y="76200"/>
          <a:ext cx="3290208" cy="876300"/>
          <a:chOff x="228600" y="47625"/>
          <a:chExt cx="2680608" cy="981075"/>
        </a:xfrm>
      </xdr:grpSpPr>
      <xdr:pic>
        <xdr:nvPicPr>
          <xdr:cNvPr id="6" name="Picture 5">
            <a:extLst>
              <a:ext uri="{FF2B5EF4-FFF2-40B4-BE49-F238E27FC236}">
                <a16:creationId xmlns:a16="http://schemas.microsoft.com/office/drawing/2014/main" id="{5B80D41D-1042-448B-88B4-96E63B0A3A2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459EC701-1C17-490F-86D6-D3FEED8ABA13}"/>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8C376663-F600-48DA-8AB2-49AE8C12BF64}"/>
            </a:ext>
          </a:extLst>
        </xdr:cNvPr>
        <xdr:cNvGrpSpPr/>
      </xdr:nvGrpSpPr>
      <xdr:grpSpPr>
        <a:xfrm>
          <a:off x="0" y="0"/>
          <a:ext cx="3490233" cy="952500"/>
          <a:chOff x="228600" y="47625"/>
          <a:chExt cx="2680608" cy="981075"/>
        </a:xfrm>
      </xdr:grpSpPr>
      <xdr:pic>
        <xdr:nvPicPr>
          <xdr:cNvPr id="3" name="Picture 5">
            <a:extLst>
              <a:ext uri="{FF2B5EF4-FFF2-40B4-BE49-F238E27FC236}">
                <a16:creationId xmlns:a16="http://schemas.microsoft.com/office/drawing/2014/main" id="{FEFA503C-8282-4E77-AD60-3ED5DD29E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8C5D578B-E9B0-4AAA-ACD2-13A6638D25C1}"/>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oneCellAnchor>
    <xdr:from>
      <xdr:col>17</xdr:col>
      <xdr:colOff>273050</xdr:colOff>
      <xdr:row>6</xdr:row>
      <xdr:rowOff>82547</xdr:rowOff>
    </xdr:from>
    <xdr:ext cx="1134531" cy="462114"/>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57A4B8BA-2C3F-403A-8338-089805E68465}"/>
                </a:ext>
              </a:extLst>
            </xdr:cNvPr>
            <xdr:cNvSpPr txBox="1"/>
          </xdr:nvSpPr>
          <xdr:spPr>
            <a:xfrm>
              <a:off x="31924625" y="160654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5" name="CuadroTexto 4">
              <a:extLst>
                <a:ext uri="{FF2B5EF4-FFF2-40B4-BE49-F238E27FC236}">
                  <a16:creationId xmlns:a16="http://schemas.microsoft.com/office/drawing/2014/main" id="{57A4B8BA-2C3F-403A-8338-089805E68465}"/>
                </a:ext>
              </a:extLst>
            </xdr:cNvPr>
            <xdr:cNvSpPr txBox="1"/>
          </xdr:nvSpPr>
          <xdr:spPr>
            <a:xfrm>
              <a:off x="31924625" y="160654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17</xdr:col>
      <xdr:colOff>338669</xdr:colOff>
      <xdr:row>7</xdr:row>
      <xdr:rowOff>0</xdr:rowOff>
    </xdr:from>
    <xdr:ext cx="1134531" cy="462114"/>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AC77D9E7-BBF5-4327-8EBA-4AAD742772A0}"/>
                </a:ext>
              </a:extLst>
            </xdr:cNvPr>
            <xdr:cNvSpPr txBox="1"/>
          </xdr:nvSpPr>
          <xdr:spPr>
            <a:xfrm>
              <a:off x="31990244" y="2876550"/>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6" name="CuadroTexto 5">
              <a:extLst>
                <a:ext uri="{FF2B5EF4-FFF2-40B4-BE49-F238E27FC236}">
                  <a16:creationId xmlns:a16="http://schemas.microsoft.com/office/drawing/2014/main" id="{AC77D9E7-BBF5-4327-8EBA-4AAD742772A0}"/>
                </a:ext>
              </a:extLst>
            </xdr:cNvPr>
            <xdr:cNvSpPr txBox="1"/>
          </xdr:nvSpPr>
          <xdr:spPr>
            <a:xfrm>
              <a:off x="31990244" y="2876550"/>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17</xdr:col>
      <xdr:colOff>328082</xdr:colOff>
      <xdr:row>8</xdr:row>
      <xdr:rowOff>148167</xdr:rowOff>
    </xdr:from>
    <xdr:ext cx="1134531" cy="462114"/>
    <mc:AlternateContent xmlns:mc="http://schemas.openxmlformats.org/markup-compatibility/2006" xmlns:a14="http://schemas.microsoft.com/office/drawing/2010/main">
      <mc:Choice Requires="a14">
        <xdr:sp macro="" textlink="">
          <xdr:nvSpPr>
            <xdr:cNvPr id="7" name="CuadroTexto 6">
              <a:extLst>
                <a:ext uri="{FF2B5EF4-FFF2-40B4-BE49-F238E27FC236}">
                  <a16:creationId xmlns:a16="http://schemas.microsoft.com/office/drawing/2014/main" id="{A168A500-3FC2-4DAE-9A3D-81244C05060F}"/>
                </a:ext>
              </a:extLst>
            </xdr:cNvPr>
            <xdr:cNvSpPr txBox="1"/>
          </xdr:nvSpPr>
          <xdr:spPr>
            <a:xfrm>
              <a:off x="31979657" y="430106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7" name="CuadroTexto 6">
              <a:extLst>
                <a:ext uri="{FF2B5EF4-FFF2-40B4-BE49-F238E27FC236}">
                  <a16:creationId xmlns:a16="http://schemas.microsoft.com/office/drawing/2014/main" id="{A168A500-3FC2-4DAE-9A3D-81244C05060F}"/>
                </a:ext>
              </a:extLst>
            </xdr:cNvPr>
            <xdr:cNvSpPr txBox="1"/>
          </xdr:nvSpPr>
          <xdr:spPr>
            <a:xfrm>
              <a:off x="31979657" y="430106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17</xdr:col>
      <xdr:colOff>296332</xdr:colOff>
      <xdr:row>9</xdr:row>
      <xdr:rowOff>0</xdr:rowOff>
    </xdr:from>
    <xdr:ext cx="1134531" cy="462114"/>
    <mc:AlternateContent xmlns:mc="http://schemas.openxmlformats.org/markup-compatibility/2006" xmlns:a14="http://schemas.microsoft.com/office/drawing/2010/main">
      <mc:Choice Requires="a14">
        <xdr:sp macro="" textlink="">
          <xdr:nvSpPr>
            <xdr:cNvPr id="8" name="CuadroTexto 7">
              <a:extLst>
                <a:ext uri="{FF2B5EF4-FFF2-40B4-BE49-F238E27FC236}">
                  <a16:creationId xmlns:a16="http://schemas.microsoft.com/office/drawing/2014/main" id="{CFB2DD40-953B-4AE7-8238-54B5A2246190}"/>
                </a:ext>
              </a:extLst>
            </xdr:cNvPr>
            <xdr:cNvSpPr txBox="1"/>
          </xdr:nvSpPr>
          <xdr:spPr>
            <a:xfrm>
              <a:off x="31947907" y="6124575"/>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8" name="CuadroTexto 7">
              <a:extLst>
                <a:ext uri="{FF2B5EF4-FFF2-40B4-BE49-F238E27FC236}">
                  <a16:creationId xmlns:a16="http://schemas.microsoft.com/office/drawing/2014/main" id="{CFB2DD40-953B-4AE7-8238-54B5A2246190}"/>
                </a:ext>
              </a:extLst>
            </xdr:cNvPr>
            <xdr:cNvSpPr txBox="1"/>
          </xdr:nvSpPr>
          <xdr:spPr>
            <a:xfrm>
              <a:off x="31947907" y="6124575"/>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17</xdr:col>
      <xdr:colOff>273050</xdr:colOff>
      <xdr:row>10</xdr:row>
      <xdr:rowOff>82547</xdr:rowOff>
    </xdr:from>
    <xdr:ext cx="1134531" cy="462114"/>
    <mc:AlternateContent xmlns:mc="http://schemas.openxmlformats.org/markup-compatibility/2006" xmlns:a14="http://schemas.microsoft.com/office/drawing/2010/main">
      <mc:Choice Requires="a14">
        <xdr:sp macro="" textlink="">
          <xdr:nvSpPr>
            <xdr:cNvPr id="9" name="CuadroTexto 8">
              <a:extLst>
                <a:ext uri="{FF2B5EF4-FFF2-40B4-BE49-F238E27FC236}">
                  <a16:creationId xmlns:a16="http://schemas.microsoft.com/office/drawing/2014/main" id="{59192DEE-C870-4182-9A28-A3A7D99A8AA0}"/>
                </a:ext>
              </a:extLst>
            </xdr:cNvPr>
            <xdr:cNvSpPr txBox="1"/>
          </xdr:nvSpPr>
          <xdr:spPr>
            <a:xfrm>
              <a:off x="31924625" y="752157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9" name="CuadroTexto 8">
              <a:extLst>
                <a:ext uri="{FF2B5EF4-FFF2-40B4-BE49-F238E27FC236}">
                  <a16:creationId xmlns:a16="http://schemas.microsoft.com/office/drawing/2014/main" id="{59192DEE-C870-4182-9A28-A3A7D99A8AA0}"/>
                </a:ext>
              </a:extLst>
            </xdr:cNvPr>
            <xdr:cNvSpPr txBox="1"/>
          </xdr:nvSpPr>
          <xdr:spPr>
            <a:xfrm>
              <a:off x="31924625" y="752157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17</xdr:col>
      <xdr:colOff>273050</xdr:colOff>
      <xdr:row>11</xdr:row>
      <xdr:rowOff>82547</xdr:rowOff>
    </xdr:from>
    <xdr:ext cx="1134531" cy="462114"/>
    <mc:AlternateContent xmlns:mc="http://schemas.openxmlformats.org/markup-compatibility/2006" xmlns:a14="http://schemas.microsoft.com/office/drawing/2010/main">
      <mc:Choice Requires="a14">
        <xdr:sp macro="" textlink="">
          <xdr:nvSpPr>
            <xdr:cNvPr id="10" name="CuadroTexto 9">
              <a:extLst>
                <a:ext uri="{FF2B5EF4-FFF2-40B4-BE49-F238E27FC236}">
                  <a16:creationId xmlns:a16="http://schemas.microsoft.com/office/drawing/2014/main" id="{38FAED2C-2A7B-4C23-B715-195BC87B2789}"/>
                </a:ext>
              </a:extLst>
            </xdr:cNvPr>
            <xdr:cNvSpPr txBox="1"/>
          </xdr:nvSpPr>
          <xdr:spPr>
            <a:xfrm>
              <a:off x="31924625" y="876934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0" name="CuadroTexto 9">
              <a:extLst>
                <a:ext uri="{FF2B5EF4-FFF2-40B4-BE49-F238E27FC236}">
                  <a16:creationId xmlns:a16="http://schemas.microsoft.com/office/drawing/2014/main" id="{38FAED2C-2A7B-4C23-B715-195BC87B2789}"/>
                </a:ext>
              </a:extLst>
            </xdr:cNvPr>
            <xdr:cNvSpPr txBox="1"/>
          </xdr:nvSpPr>
          <xdr:spPr>
            <a:xfrm>
              <a:off x="31924625" y="876934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17</xdr:col>
      <xdr:colOff>273050</xdr:colOff>
      <xdr:row>12</xdr:row>
      <xdr:rowOff>82547</xdr:rowOff>
    </xdr:from>
    <xdr:ext cx="1134531" cy="462114"/>
    <mc:AlternateContent xmlns:mc="http://schemas.openxmlformats.org/markup-compatibility/2006" xmlns:a14="http://schemas.microsoft.com/office/drawing/2010/main">
      <mc:Choice Requires="a14">
        <xdr:sp macro="" textlink="">
          <xdr:nvSpPr>
            <xdr:cNvPr id="11" name="CuadroTexto 10">
              <a:extLst>
                <a:ext uri="{FF2B5EF4-FFF2-40B4-BE49-F238E27FC236}">
                  <a16:creationId xmlns:a16="http://schemas.microsoft.com/office/drawing/2014/main" id="{E0D84A2F-85F0-4849-B43A-BAE6D6753D0F}"/>
                </a:ext>
              </a:extLst>
            </xdr:cNvPr>
            <xdr:cNvSpPr txBox="1"/>
          </xdr:nvSpPr>
          <xdr:spPr>
            <a:xfrm>
              <a:off x="31924625" y="995997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1" name="CuadroTexto 10">
              <a:extLst>
                <a:ext uri="{FF2B5EF4-FFF2-40B4-BE49-F238E27FC236}">
                  <a16:creationId xmlns:a16="http://schemas.microsoft.com/office/drawing/2014/main" id="{E0D84A2F-85F0-4849-B43A-BAE6D6753D0F}"/>
                </a:ext>
              </a:extLst>
            </xdr:cNvPr>
            <xdr:cNvSpPr txBox="1"/>
          </xdr:nvSpPr>
          <xdr:spPr>
            <a:xfrm>
              <a:off x="31924625" y="995997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17</xdr:col>
      <xdr:colOff>273050</xdr:colOff>
      <xdr:row>13</xdr:row>
      <xdr:rowOff>82547</xdr:rowOff>
    </xdr:from>
    <xdr:ext cx="1134531" cy="462114"/>
    <mc:AlternateContent xmlns:mc="http://schemas.openxmlformats.org/markup-compatibility/2006" xmlns:a14="http://schemas.microsoft.com/office/drawing/2010/main">
      <mc:Choice Requires="a14">
        <xdr:sp macro="" textlink="">
          <xdr:nvSpPr>
            <xdr:cNvPr id="12" name="CuadroTexto 11">
              <a:extLst>
                <a:ext uri="{FF2B5EF4-FFF2-40B4-BE49-F238E27FC236}">
                  <a16:creationId xmlns:a16="http://schemas.microsoft.com/office/drawing/2014/main" id="{D8C9BBCE-99AE-4F50-8DD7-7A266269603C}"/>
                </a:ext>
              </a:extLst>
            </xdr:cNvPr>
            <xdr:cNvSpPr txBox="1"/>
          </xdr:nvSpPr>
          <xdr:spPr>
            <a:xfrm>
              <a:off x="31924625" y="1220787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2" name="CuadroTexto 11">
              <a:extLst>
                <a:ext uri="{FF2B5EF4-FFF2-40B4-BE49-F238E27FC236}">
                  <a16:creationId xmlns:a16="http://schemas.microsoft.com/office/drawing/2014/main" id="{D8C9BBCE-99AE-4F50-8DD7-7A266269603C}"/>
                </a:ext>
              </a:extLst>
            </xdr:cNvPr>
            <xdr:cNvSpPr txBox="1"/>
          </xdr:nvSpPr>
          <xdr:spPr>
            <a:xfrm>
              <a:off x="31924625" y="1220787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17</xdr:col>
      <xdr:colOff>273050</xdr:colOff>
      <xdr:row>14</xdr:row>
      <xdr:rowOff>82547</xdr:rowOff>
    </xdr:from>
    <xdr:ext cx="1134531" cy="462114"/>
    <mc:AlternateContent xmlns:mc="http://schemas.openxmlformats.org/markup-compatibility/2006" xmlns:a14="http://schemas.microsoft.com/office/drawing/2010/main">
      <mc:Choice Requires="a14">
        <xdr:sp macro="" textlink="">
          <xdr:nvSpPr>
            <xdr:cNvPr id="13" name="CuadroTexto 12">
              <a:extLst>
                <a:ext uri="{FF2B5EF4-FFF2-40B4-BE49-F238E27FC236}">
                  <a16:creationId xmlns:a16="http://schemas.microsoft.com/office/drawing/2014/main" id="{4428D561-82E1-4036-BF6B-CD263EA0B1A4}"/>
                </a:ext>
              </a:extLst>
            </xdr:cNvPr>
            <xdr:cNvSpPr txBox="1"/>
          </xdr:nvSpPr>
          <xdr:spPr>
            <a:xfrm>
              <a:off x="31924625" y="1352232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3" name="CuadroTexto 12">
              <a:extLst>
                <a:ext uri="{FF2B5EF4-FFF2-40B4-BE49-F238E27FC236}">
                  <a16:creationId xmlns:a16="http://schemas.microsoft.com/office/drawing/2014/main" id="{4428D561-82E1-4036-BF6B-CD263EA0B1A4}"/>
                </a:ext>
              </a:extLst>
            </xdr:cNvPr>
            <xdr:cNvSpPr txBox="1"/>
          </xdr:nvSpPr>
          <xdr:spPr>
            <a:xfrm>
              <a:off x="31924625" y="1352232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12</xdr:col>
      <xdr:colOff>273050</xdr:colOff>
      <xdr:row>16</xdr:row>
      <xdr:rowOff>82547</xdr:rowOff>
    </xdr:from>
    <xdr:ext cx="1134531" cy="462114"/>
    <mc:AlternateContent xmlns:mc="http://schemas.openxmlformats.org/markup-compatibility/2006" xmlns:a14="http://schemas.microsoft.com/office/drawing/2010/main">
      <mc:Choice Requires="a14">
        <xdr:sp macro="" textlink="">
          <xdr:nvSpPr>
            <xdr:cNvPr id="14" name="CuadroTexto 13">
              <a:extLst>
                <a:ext uri="{FF2B5EF4-FFF2-40B4-BE49-F238E27FC236}">
                  <a16:creationId xmlns:a16="http://schemas.microsoft.com/office/drawing/2014/main" id="{DF7D988E-7E05-49F6-A51B-D88E30818EE7}"/>
                </a:ext>
              </a:extLst>
            </xdr:cNvPr>
            <xdr:cNvSpPr txBox="1"/>
          </xdr:nvSpPr>
          <xdr:spPr>
            <a:xfrm>
              <a:off x="21399500" y="1678939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4" name="CuadroTexto 13">
              <a:extLst>
                <a:ext uri="{FF2B5EF4-FFF2-40B4-BE49-F238E27FC236}">
                  <a16:creationId xmlns:a16="http://schemas.microsoft.com/office/drawing/2014/main" id="{DF7D988E-7E05-49F6-A51B-D88E30818EE7}"/>
                </a:ext>
              </a:extLst>
            </xdr:cNvPr>
            <xdr:cNvSpPr txBox="1"/>
          </xdr:nvSpPr>
          <xdr:spPr>
            <a:xfrm>
              <a:off x="21399500" y="1678939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12</xdr:col>
      <xdr:colOff>273050</xdr:colOff>
      <xdr:row>17</xdr:row>
      <xdr:rowOff>82547</xdr:rowOff>
    </xdr:from>
    <xdr:ext cx="1134531" cy="462114"/>
    <mc:AlternateContent xmlns:mc="http://schemas.openxmlformats.org/markup-compatibility/2006" xmlns:a14="http://schemas.microsoft.com/office/drawing/2010/main">
      <mc:Choice Requires="a14">
        <xdr:sp macro="" textlink="">
          <xdr:nvSpPr>
            <xdr:cNvPr id="15" name="CuadroTexto 14">
              <a:extLst>
                <a:ext uri="{FF2B5EF4-FFF2-40B4-BE49-F238E27FC236}">
                  <a16:creationId xmlns:a16="http://schemas.microsoft.com/office/drawing/2014/main" id="{1B047FAA-56C9-411A-8AEB-7A93B949090A}"/>
                </a:ext>
              </a:extLst>
            </xdr:cNvPr>
            <xdr:cNvSpPr txBox="1"/>
          </xdr:nvSpPr>
          <xdr:spPr>
            <a:xfrm>
              <a:off x="21399500" y="1833244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5" name="CuadroTexto 14">
              <a:extLst>
                <a:ext uri="{FF2B5EF4-FFF2-40B4-BE49-F238E27FC236}">
                  <a16:creationId xmlns:a16="http://schemas.microsoft.com/office/drawing/2014/main" id="{1B047FAA-56C9-411A-8AEB-7A93B949090A}"/>
                </a:ext>
              </a:extLst>
            </xdr:cNvPr>
            <xdr:cNvSpPr txBox="1"/>
          </xdr:nvSpPr>
          <xdr:spPr>
            <a:xfrm>
              <a:off x="21399500" y="1833244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3</xdr:row>
      <xdr:rowOff>0</xdr:rowOff>
    </xdr:to>
    <xdr:grpSp>
      <xdr:nvGrpSpPr>
        <xdr:cNvPr id="2" name="Grupo 1">
          <a:extLst>
            <a:ext uri="{FF2B5EF4-FFF2-40B4-BE49-F238E27FC236}">
              <a16:creationId xmlns:a16="http://schemas.microsoft.com/office/drawing/2014/main" id="{D29FDF02-EBE4-440E-A558-E6C2A534A665}"/>
            </a:ext>
          </a:extLst>
        </xdr:cNvPr>
        <xdr:cNvGrpSpPr/>
      </xdr:nvGrpSpPr>
      <xdr:grpSpPr>
        <a:xfrm>
          <a:off x="0" y="0"/>
          <a:ext cx="0" cy="952500"/>
          <a:chOff x="228600" y="47625"/>
          <a:chExt cx="2680608" cy="981075"/>
        </a:xfrm>
      </xdr:grpSpPr>
      <xdr:pic>
        <xdr:nvPicPr>
          <xdr:cNvPr id="3" name="Picture 5">
            <a:extLst>
              <a:ext uri="{FF2B5EF4-FFF2-40B4-BE49-F238E27FC236}">
                <a16:creationId xmlns:a16="http://schemas.microsoft.com/office/drawing/2014/main" id="{4D22515B-9DC5-4934-8FA6-74863ECD0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D4CB2B88-CEBD-4D1F-96BA-3EF8B96BD56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242208</xdr:colOff>
      <xdr:row>2</xdr:row>
      <xdr:rowOff>295275</xdr:rowOff>
    </xdr:to>
    <xdr:grpSp>
      <xdr:nvGrpSpPr>
        <xdr:cNvPr id="5" name="Grupo 4">
          <a:extLst>
            <a:ext uri="{FF2B5EF4-FFF2-40B4-BE49-F238E27FC236}">
              <a16:creationId xmlns:a16="http://schemas.microsoft.com/office/drawing/2014/main" id="{CCBD3C60-2664-4319-9733-997B5DAD8AF9}"/>
            </a:ext>
          </a:extLst>
        </xdr:cNvPr>
        <xdr:cNvGrpSpPr/>
      </xdr:nvGrpSpPr>
      <xdr:grpSpPr>
        <a:xfrm>
          <a:off x="0" y="0"/>
          <a:ext cx="3518808" cy="876300"/>
          <a:chOff x="228600" y="47625"/>
          <a:chExt cx="2680608" cy="981075"/>
        </a:xfrm>
      </xdr:grpSpPr>
      <xdr:pic>
        <xdr:nvPicPr>
          <xdr:cNvPr id="6" name="Picture 5">
            <a:extLst>
              <a:ext uri="{FF2B5EF4-FFF2-40B4-BE49-F238E27FC236}">
                <a16:creationId xmlns:a16="http://schemas.microsoft.com/office/drawing/2014/main" id="{E635AEBC-DE28-4B2C-A17D-4A8F10EDBC2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2582C3C8-703C-4DA1-9465-EB163A541B92}"/>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0</xdr:row>
      <xdr:rowOff>76200</xdr:rowOff>
    </xdr:from>
    <xdr:to>
      <xdr:col>2</xdr:col>
      <xdr:colOff>223158</xdr:colOff>
      <xdr:row>3</xdr:row>
      <xdr:rowOff>0</xdr:rowOff>
    </xdr:to>
    <xdr:grpSp>
      <xdr:nvGrpSpPr>
        <xdr:cNvPr id="2" name="Grupo 1">
          <a:extLst>
            <a:ext uri="{FF2B5EF4-FFF2-40B4-BE49-F238E27FC236}">
              <a16:creationId xmlns:a16="http://schemas.microsoft.com/office/drawing/2014/main" id="{B2213057-AD8E-449B-8758-912C0BC2435A}"/>
            </a:ext>
          </a:extLst>
        </xdr:cNvPr>
        <xdr:cNvGrpSpPr/>
      </xdr:nvGrpSpPr>
      <xdr:grpSpPr>
        <a:xfrm>
          <a:off x="9525" y="76200"/>
          <a:ext cx="3518808" cy="876300"/>
          <a:chOff x="228600" y="47625"/>
          <a:chExt cx="2680608" cy="981075"/>
        </a:xfrm>
      </xdr:grpSpPr>
      <xdr:pic>
        <xdr:nvPicPr>
          <xdr:cNvPr id="3" name="Picture 5">
            <a:extLst>
              <a:ext uri="{FF2B5EF4-FFF2-40B4-BE49-F238E27FC236}">
                <a16:creationId xmlns:a16="http://schemas.microsoft.com/office/drawing/2014/main" id="{BFEE878F-DEEC-482B-8955-FCB2949027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B97CD546-7173-44EA-B005-1BA442EEBFFA}"/>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919043</xdr:colOff>
      <xdr:row>2</xdr:row>
      <xdr:rowOff>293594</xdr:rowOff>
    </xdr:to>
    <xdr:grpSp>
      <xdr:nvGrpSpPr>
        <xdr:cNvPr id="14" name="Grupo 13">
          <a:extLst>
            <a:ext uri="{FF2B5EF4-FFF2-40B4-BE49-F238E27FC236}">
              <a16:creationId xmlns:a16="http://schemas.microsoft.com/office/drawing/2014/main" id="{5B058A94-3BD4-4264-A85B-A9EE3D31A860}"/>
            </a:ext>
          </a:extLst>
        </xdr:cNvPr>
        <xdr:cNvGrpSpPr/>
      </xdr:nvGrpSpPr>
      <xdr:grpSpPr>
        <a:xfrm>
          <a:off x="0" y="0"/>
          <a:ext cx="3518574" cy="869063"/>
          <a:chOff x="228600" y="47625"/>
          <a:chExt cx="2680608" cy="981075"/>
        </a:xfrm>
      </xdr:grpSpPr>
      <xdr:pic>
        <xdr:nvPicPr>
          <xdr:cNvPr id="15" name="Picture 5">
            <a:extLst>
              <a:ext uri="{FF2B5EF4-FFF2-40B4-BE49-F238E27FC236}">
                <a16:creationId xmlns:a16="http://schemas.microsoft.com/office/drawing/2014/main" id="{C432A92C-8EC0-418C-861D-1D82FFBFE0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6" name="5 CuadroTexto">
            <a:extLst>
              <a:ext uri="{FF2B5EF4-FFF2-40B4-BE49-F238E27FC236}">
                <a16:creationId xmlns:a16="http://schemas.microsoft.com/office/drawing/2014/main" id="{401FD0F9-6258-43DD-834D-2F8970094E04}"/>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1D62DF74-12BC-49E5-B88C-49D074822AED}"/>
            </a:ext>
          </a:extLst>
        </xdr:cNvPr>
        <xdr:cNvGrpSpPr/>
      </xdr:nvGrpSpPr>
      <xdr:grpSpPr>
        <a:xfrm>
          <a:off x="0" y="0"/>
          <a:ext cx="2404383" cy="952500"/>
          <a:chOff x="228600" y="47625"/>
          <a:chExt cx="2680608" cy="981075"/>
        </a:xfrm>
      </xdr:grpSpPr>
      <xdr:pic>
        <xdr:nvPicPr>
          <xdr:cNvPr id="3" name="Picture 5">
            <a:extLst>
              <a:ext uri="{FF2B5EF4-FFF2-40B4-BE49-F238E27FC236}">
                <a16:creationId xmlns:a16="http://schemas.microsoft.com/office/drawing/2014/main" id="{998A3458-25E0-43FE-A46B-7227DC26E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81BEE988-69EC-47C9-A25F-3145175D69B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213633</xdr:colOff>
      <xdr:row>3</xdr:row>
      <xdr:rowOff>0</xdr:rowOff>
    </xdr:to>
    <xdr:grpSp>
      <xdr:nvGrpSpPr>
        <xdr:cNvPr id="5" name="Grupo 4">
          <a:extLst>
            <a:ext uri="{FF2B5EF4-FFF2-40B4-BE49-F238E27FC236}">
              <a16:creationId xmlns:a16="http://schemas.microsoft.com/office/drawing/2014/main" id="{96637202-B44C-4CEE-8B82-F22DAEE4F739}"/>
            </a:ext>
          </a:extLst>
        </xdr:cNvPr>
        <xdr:cNvGrpSpPr/>
      </xdr:nvGrpSpPr>
      <xdr:grpSpPr>
        <a:xfrm>
          <a:off x="0" y="0"/>
          <a:ext cx="2404383" cy="952500"/>
          <a:chOff x="228600" y="47625"/>
          <a:chExt cx="2680608" cy="981075"/>
        </a:xfrm>
      </xdr:grpSpPr>
      <xdr:pic>
        <xdr:nvPicPr>
          <xdr:cNvPr id="6" name="Picture 5">
            <a:extLst>
              <a:ext uri="{FF2B5EF4-FFF2-40B4-BE49-F238E27FC236}">
                <a16:creationId xmlns:a16="http://schemas.microsoft.com/office/drawing/2014/main" id="{BA3A7EFF-E252-436B-BDF8-831A68C5E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6B3A16F4-19F9-40E5-BBAD-4B93405C73C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213633</xdr:colOff>
      <xdr:row>3</xdr:row>
      <xdr:rowOff>0</xdr:rowOff>
    </xdr:to>
    <xdr:grpSp>
      <xdr:nvGrpSpPr>
        <xdr:cNvPr id="8" name="Grupo 7">
          <a:extLst>
            <a:ext uri="{FF2B5EF4-FFF2-40B4-BE49-F238E27FC236}">
              <a16:creationId xmlns:a16="http://schemas.microsoft.com/office/drawing/2014/main" id="{811D1E65-37B5-4377-A3C8-8EA3EC981215}"/>
            </a:ext>
          </a:extLst>
        </xdr:cNvPr>
        <xdr:cNvGrpSpPr/>
      </xdr:nvGrpSpPr>
      <xdr:grpSpPr>
        <a:xfrm>
          <a:off x="0" y="0"/>
          <a:ext cx="2404383" cy="952500"/>
          <a:chOff x="228600" y="47625"/>
          <a:chExt cx="2680608" cy="981075"/>
        </a:xfrm>
      </xdr:grpSpPr>
      <xdr:pic>
        <xdr:nvPicPr>
          <xdr:cNvPr id="9" name="Picture 5">
            <a:extLst>
              <a:ext uri="{FF2B5EF4-FFF2-40B4-BE49-F238E27FC236}">
                <a16:creationId xmlns:a16="http://schemas.microsoft.com/office/drawing/2014/main" id="{4E6114DE-E305-4027-B50F-E91209C65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0" name="5 CuadroTexto">
            <a:extLst>
              <a:ext uri="{FF2B5EF4-FFF2-40B4-BE49-F238E27FC236}">
                <a16:creationId xmlns:a16="http://schemas.microsoft.com/office/drawing/2014/main" id="{85800936-27A2-4217-95DD-C4FF10FC0971}"/>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BABD0ADD-C118-4B7C-B753-8BC08AF31775}"/>
            </a:ext>
          </a:extLst>
        </xdr:cNvPr>
        <xdr:cNvGrpSpPr/>
      </xdr:nvGrpSpPr>
      <xdr:grpSpPr>
        <a:xfrm>
          <a:off x="0" y="0"/>
          <a:ext cx="2813958" cy="952500"/>
          <a:chOff x="228600" y="47625"/>
          <a:chExt cx="2680608" cy="981075"/>
        </a:xfrm>
      </xdr:grpSpPr>
      <xdr:pic>
        <xdr:nvPicPr>
          <xdr:cNvPr id="3" name="Picture 5">
            <a:extLst>
              <a:ext uri="{FF2B5EF4-FFF2-40B4-BE49-F238E27FC236}">
                <a16:creationId xmlns:a16="http://schemas.microsoft.com/office/drawing/2014/main" id="{BE2753B5-BE50-41B0-A149-2AEE4DBCB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6A567927-1176-4A3C-BF4D-C50D7ED8E87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C24299FD-A37E-4BEA-9254-B1DEF3EBF491}"/>
            </a:ext>
          </a:extLst>
        </xdr:cNvPr>
        <xdr:cNvGrpSpPr/>
      </xdr:nvGrpSpPr>
      <xdr:grpSpPr>
        <a:xfrm>
          <a:off x="0" y="0"/>
          <a:ext cx="1909083" cy="952500"/>
          <a:chOff x="228600" y="47625"/>
          <a:chExt cx="2680608" cy="981075"/>
        </a:xfrm>
      </xdr:grpSpPr>
      <xdr:pic>
        <xdr:nvPicPr>
          <xdr:cNvPr id="3" name="Picture 5">
            <a:extLst>
              <a:ext uri="{FF2B5EF4-FFF2-40B4-BE49-F238E27FC236}">
                <a16:creationId xmlns:a16="http://schemas.microsoft.com/office/drawing/2014/main" id="{1BCF903E-98A2-4401-AC76-65E728B4F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E106F114-E3C5-4C9C-81B4-F3B878EEBE18}"/>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432C6FA8-B3F4-4623-97B4-6FF519CEF218}"/>
            </a:ext>
          </a:extLst>
        </xdr:cNvPr>
        <xdr:cNvGrpSpPr/>
      </xdr:nvGrpSpPr>
      <xdr:grpSpPr>
        <a:xfrm>
          <a:off x="0" y="0"/>
          <a:ext cx="3484482" cy="943514"/>
          <a:chOff x="228600" y="47625"/>
          <a:chExt cx="2680608" cy="981075"/>
        </a:xfrm>
      </xdr:grpSpPr>
      <xdr:pic>
        <xdr:nvPicPr>
          <xdr:cNvPr id="3" name="Picture 5">
            <a:extLst>
              <a:ext uri="{FF2B5EF4-FFF2-40B4-BE49-F238E27FC236}">
                <a16:creationId xmlns:a16="http://schemas.microsoft.com/office/drawing/2014/main" id="{749FE60D-7B0E-4318-A479-403DD7BF1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9D407436-2568-47CF-AB7D-B5AB36CF4A5D}"/>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rive\ANLA\PT%20Control%20Seguimientos%2029-Dic-1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8\Seguimiento%202018\Cierre%202017\Control%20de%20SEGUIMIENTO%202017_defintivo_RevLore_22e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larcila\AppData\Local\Microsoft\Windows\INetCache\Content.Outlook\XHN05ZOW\PT%20Control%20Seguimientos%202016%20ENERO%202017%20AG.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0%20SUBDIRECCION%20DE%20EYS\2017\CONTROL%20DE%20TERMINOS\0%20DICIEMBRE%2031%202016\Control%20de%20Terminos%20SIGOV%202016%20V5%20con%20corte%20al%2010-11-201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inambiente4\SGC-SILA\Indicadores\Informes%20Evaluaci&#242;n\IND.%20PERMISOS\Indicadores%202008\Octubre%2008-0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Balance%202016\PT%20Control%20T&#233;rminos%20DICIEMBRE%202016%20FINAL%2011012017.xlsm"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ectorial"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0%20SUBDIRECCION%20DE%20EYS\2016\CONTROL%20TERMINOS%20SIGOV\ENERGIA-MINERIA\2016-09-30\SIGOV%202016%20V5%2030Sep2016%20_Martha%20rev%20SES%200510201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MAYO\SES%20-%20ANEXOS\Copia%20de%20Control%20T&#233;rminos%20mayo%202017%20Evaluaci&#243;n_EVALUACI&#211;N_defintiivo_V10jun.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ABRIL\SES\Copia%20de%20Control%20T&#233;rminos%20Abril_2017%20REV2_EVALUACI&#211;N_DefJaz.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Users\larcila\AppData\Local\Microsoft\Windows\INetCache\Content.Outlook\XHN05ZOW\PT%20Control%20T&#233;rminos%20ENERO%202017%2019012017.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ORMATO%20PAI%20-%20SES%20-MARZO.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chris/Downloads/FORMATO%20PAI_Regali&#769;a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chris/Downloads/Informe%20PAI_Regali&#769;as_Febrero2020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Esta. Informe Seguimiento"/>
      <sheetName val="Hoja7"/>
      <sheetName val="Registro Control Tiempos"/>
      <sheetName val="29 Dic"/>
      <sheetName val="27-29 Dic"/>
      <sheetName val="Infome Plan de Accion SES 2017"/>
      <sheetName val="Productividad por sector"/>
      <sheetName val="Info Agroquímicos"/>
      <sheetName val="Resumen Estadisticas"/>
      <sheetName val="Resumen estadístico"/>
      <sheetName val="Info Minería"/>
      <sheetName val="Info Hidrocarburos"/>
      <sheetName val="Info Infraestructura"/>
      <sheetName val="Info Energía"/>
      <sheetName val="Anexo 1 de Pago"/>
      <sheetName val="Estado de Proyectos"/>
      <sheetName val="Hoja4"/>
      <sheetName val="Grafico LA Nueva"/>
      <sheetName val="Grafico LA Modificacion"/>
      <sheetName val="Decreto aplicable"/>
      <sheetName val="Proyectos PINES"/>
      <sheetName val="Bd Resoluciones"/>
      <sheetName val="Tiempos Años anteriores"/>
      <sheetName val="Informes de gestión"/>
      <sheetName val="Semaforos"/>
      <sheetName val="Hoja2"/>
      <sheetName val="PT Control Seguimientos 29-Dic-"/>
      <sheetName val="VIG. ANT - X GESTIO"/>
      <sheetName val="Vig. Ant"/>
      <sheetName val="VIG. 2017 - X GESTI"/>
      <sheetName val="2017"/>
      <sheetName val="SIN GESTIÓN BD"/>
      <sheetName val="REV. REZAGOS"/>
    </sheetNames>
    <sheetDataSet>
      <sheetData sheetId="0">
        <row r="2">
          <cell r="G2" t="str">
            <v>Enero</v>
          </cell>
          <cell r="H2" t="str">
            <v>Octubre</v>
          </cell>
        </row>
        <row r="5">
          <cell r="G5">
            <v>0.13417999999999999</v>
          </cell>
        </row>
        <row r="11">
          <cell r="R11" t="str">
            <v>Audiencia pública</v>
          </cell>
          <cell r="AB11" t="str">
            <v>Levantamiento de Veda</v>
          </cell>
        </row>
        <row r="12">
          <cell r="R12" t="str">
            <v>Solicitud del usuario</v>
          </cell>
          <cell r="AB12" t="str">
            <v>Sustracción de reservas</v>
          </cell>
        </row>
        <row r="13">
          <cell r="R13" t="str">
            <v>Consulta previa</v>
          </cell>
          <cell r="AB13" t="str">
            <v>Parques</v>
          </cell>
        </row>
        <row r="14">
          <cell r="R14" t="str">
            <v>Visita Aplazada (Seguimiento)</v>
          </cell>
        </row>
      </sheetData>
      <sheetData sheetId="1"/>
      <sheetData sheetId="2">
        <row r="2">
          <cell r="I2" t="str">
            <v>*</v>
          </cell>
        </row>
        <row r="5">
          <cell r="AV5">
            <v>0.85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Control Tiempos"/>
      <sheetName val="Hidrocarburos"/>
      <sheetName val="Infraestructura"/>
      <sheetName val="Minería"/>
      <sheetName val="Energía"/>
      <sheetName val="Agroquímicos"/>
    </sheetNames>
    <sheetDataSet>
      <sheetData sheetId="0">
        <row r="7">
          <cell r="C7">
            <v>42978</v>
          </cell>
        </row>
        <row r="9">
          <cell r="C9">
            <v>42978</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Registro Control Tiempos"/>
      <sheetName val="Resumen Estadisticas"/>
      <sheetName val="Resumen estadístico"/>
      <sheetName val="Anexo 1 de Pago"/>
      <sheetName val="Estado de Proyectos"/>
      <sheetName val="Grafico LA Nueva"/>
      <sheetName val="Grafico LA Modificacion"/>
      <sheetName val="Decreto aplicable"/>
      <sheetName val="Proyectos PINES"/>
      <sheetName val="Bd Resoluciones"/>
      <sheetName val="Tiempos Años anteriores"/>
      <sheetName val="Informes de gestión"/>
      <sheetName val="Semaforos"/>
    </sheetNames>
    <sheetDataSet>
      <sheetData sheetId="0">
        <row r="11">
          <cell r="F11" t="str">
            <v>LA</v>
          </cell>
        </row>
        <row r="12">
          <cell r="F12" t="str">
            <v>PMA</v>
          </cell>
        </row>
        <row r="13">
          <cell r="F13" t="str">
            <v>MMA</v>
          </cell>
        </row>
        <row r="14">
          <cell r="F14" t="str">
            <v>NDA</v>
          </cell>
        </row>
        <row r="15">
          <cell r="F15" t="str">
            <v>DAA</v>
          </cell>
        </row>
        <row r="16">
          <cell r="F16" t="str">
            <v>PMRA</v>
          </cell>
        </row>
        <row r="17">
          <cell r="F17" t="str">
            <v>DTA</v>
          </cell>
        </row>
        <row r="18">
          <cell r="F18" t="str">
            <v>POSC</v>
          </cell>
        </row>
        <row r="19">
          <cell r="F19" t="str">
            <v>P.E.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 val="Control de Terminos SIGOV 2016 "/>
      <sheetName val="Control%20de%20Terminos%20SIGOV"/>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ow r="12">
          <cell r="BI12" t="str">
            <v>Si</v>
          </cell>
        </row>
        <row r="15">
          <cell r="BI15" t="str">
            <v>Dec. 1310 de 2005</v>
          </cell>
        </row>
        <row r="16">
          <cell r="BI16" t="str">
            <v>Res. 1442 de 2008</v>
          </cell>
        </row>
        <row r="17">
          <cell r="BI17" t="str">
            <v>Dec. 2820 de 2010</v>
          </cell>
        </row>
        <row r="18">
          <cell r="BI18" t="str">
            <v>Dec. 2041 de 2014</v>
          </cell>
        </row>
        <row r="19">
          <cell r="BI19" t="str">
            <v>Dec. 1076 de 2015</v>
          </cell>
        </row>
      </sheetData>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2008"/>
      <sheetName val="MOV. TRANFRONTERIZO"/>
      <sheetName val="INVESTIGACION"/>
      <sheetName val="CITES"/>
      <sheetName val="SUSTRACCION DE RESERVA"/>
      <sheetName val="PERMISO FUERA LICENCIAS AMBIENT"/>
      <sheetName val="pendientes CITES"/>
      <sheetName val="Octubre"/>
      <sheetName val="% Evaluaciones Resueltas"/>
      <sheetName val="Tiempo de evaluación PROPUESTO"/>
      <sheetName val="Eficiencia_terminos"/>
      <sheetName val="Eficiencia_terminos (2)"/>
      <sheetName val="Tiempo de evaluación"/>
      <sheetName val="Hoja1"/>
      <sheetName val="Pendientes"/>
      <sheetName val="datoa paula"/>
      <sheetName val="% Evaluaciones Resueltas (2)"/>
      <sheetName val="Octubre 08-02(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4">
          <cell r="C24" t="str">
            <v>Dentro de Término</v>
          </cell>
        </row>
      </sheetData>
      <sheetData sheetId="13"/>
      <sheetData sheetId="14">
        <row r="49">
          <cell r="B49">
            <v>1</v>
          </cell>
          <cell r="C49">
            <v>0</v>
          </cell>
          <cell r="D49">
            <v>12</v>
          </cell>
          <cell r="E49">
            <v>48</v>
          </cell>
        </row>
      </sheetData>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N11" t="str">
            <v>AGROQUÍMICOS</v>
          </cell>
        </row>
        <row r="12">
          <cell r="N12" t="str">
            <v>ENERGÍA</v>
          </cell>
        </row>
        <row r="13">
          <cell r="N13" t="str">
            <v>ESPECIALES</v>
          </cell>
        </row>
        <row r="14">
          <cell r="N14" t="str">
            <v>HIDROCARBUROS</v>
          </cell>
        </row>
        <row r="15">
          <cell r="N15" t="str">
            <v>INFRAESTRUCTURA</v>
          </cell>
        </row>
        <row r="16">
          <cell r="N16" t="str">
            <v>MINERÍA</v>
          </cell>
        </row>
        <row r="17">
          <cell r="N17" t="str">
            <v>POSCONSUMO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orial"/>
      <sheetName val="Parametros"/>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s>
    <sheetDataSet>
      <sheetData sheetId="0"/>
      <sheetData sheetId="1"/>
      <sheetData sheetId="2"/>
      <sheetData sheetId="3"/>
      <sheetData sheetId="4"/>
      <sheetData sheetId="5"/>
      <sheetData sheetId="6"/>
      <sheetData sheetId="7"/>
      <sheetData sheetId="8"/>
      <sheetData sheetId="9"/>
      <sheetData sheetId="10"/>
      <sheetData sheetId="11">
        <row r="12">
          <cell r="BI12" t="str">
            <v>Si</v>
          </cell>
        </row>
        <row r="13">
          <cell r="BI13" t="str">
            <v>No</v>
          </cell>
        </row>
      </sheetData>
      <sheetData sheetId="12"/>
      <sheetData sheetId="13"/>
      <sheetData sheetId="14"/>
      <sheetData sheetId="15"/>
      <sheetData sheetId="16"/>
      <sheetData sheetId="1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T11" t="str">
            <v>Resolución</v>
          </cell>
        </row>
        <row r="12">
          <cell r="T12" t="str">
            <v>Auto</v>
          </cell>
        </row>
        <row r="13">
          <cell r="T13" t="str">
            <v>Oficio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Estado Empalme"/>
      <sheetName val="Hoja4"/>
      <sheetName val="Hoja3"/>
      <sheetName val="Hoja2"/>
      <sheetName val="Registro Control Tiempos"/>
      <sheetName val="Resumen Estadisticas"/>
      <sheetName val="Resumen estadístico"/>
      <sheetName val="Estado de Proyectos"/>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 val="Semaforos"/>
    </sheetNames>
    <sheetDataSet>
      <sheetData sheetId="0">
        <row r="11">
          <cell r="V11" t="str">
            <v>Archiva</v>
          </cell>
        </row>
        <row r="12">
          <cell r="V12" t="str">
            <v>Desiste</v>
          </cell>
        </row>
        <row r="13">
          <cell r="V13" t="str">
            <v>Niega</v>
          </cell>
        </row>
        <row r="14">
          <cell r="V14" t="str">
            <v>Otorga</v>
          </cell>
        </row>
        <row r="15">
          <cell r="V15" t="str">
            <v>Revoca</v>
          </cell>
        </row>
        <row r="16">
          <cell r="V16" t="str">
            <v>Define DAA</v>
          </cell>
        </row>
        <row r="17">
          <cell r="V17" t="str">
            <v>Requiere DAA</v>
          </cell>
        </row>
        <row r="18">
          <cell r="V18" t="str">
            <v>No requiere DAA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1">
          <cell r="L11" t="str">
            <v>Nuevo</v>
          </cell>
        </row>
        <row r="12">
          <cell r="L12" t="str">
            <v>Modificación</v>
          </cell>
        </row>
        <row r="13">
          <cell r="L13" t="str">
            <v>Mod. Fuente Materiales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I SES"/>
      <sheetName val="Homologado Tiempo Transcurrido"/>
      <sheetName val="Gráfica Evaluación %"/>
      <sheetName val="Gráfica Evaluación #"/>
      <sheetName val="Gráfica Seguimientos"/>
      <sheetName val="Gráfica Rezagos"/>
      <sheetName val="Gráfica RASP"/>
      <sheetName val="COMP1%"/>
      <sheetName val="CONT "/>
      <sheetName val="GEOMÁTICA"/>
      <sheetName val="V.E."/>
      <sheetName val="Indicadores para informe"/>
      <sheetName val="Graf. presupuesto"/>
      <sheetName val="GR-F-2 Cadena de Valor (2)"/>
      <sheetName val="PAI REGALÍAS"/>
    </sheetNames>
    <sheetDataSet>
      <sheetData sheetId="0"/>
      <sheetData sheetId="1" refreshError="1"/>
      <sheetData sheetId="2" refreshError="1"/>
      <sheetData sheetId="3" refreshError="1"/>
      <sheetData sheetId="4" refreshError="1"/>
      <sheetData sheetId="5" refreshError="1"/>
      <sheetData sheetId="6" refreshError="1"/>
      <sheetData sheetId="7">
        <row r="9">
          <cell r="C9">
            <v>38</v>
          </cell>
        </row>
      </sheetData>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I SES"/>
      <sheetName val="PAI REGALÍAS"/>
    </sheetNames>
    <sheetDataSet>
      <sheetData sheetId="0"/>
      <sheetData sheetId="1">
        <row r="7">
          <cell r="P7">
            <v>0.75</v>
          </cell>
        </row>
        <row r="8">
          <cell r="P8">
            <v>0.95</v>
          </cell>
        </row>
        <row r="9">
          <cell r="P9">
            <v>0.8</v>
          </cell>
        </row>
        <row r="10">
          <cell r="P10">
            <v>0.75</v>
          </cell>
        </row>
        <row r="11">
          <cell r="P11">
            <v>0.95</v>
          </cell>
        </row>
        <row r="12">
          <cell r="P12">
            <v>0.8</v>
          </cell>
        </row>
        <row r="13">
          <cell r="P13">
            <v>0.9</v>
          </cell>
        </row>
        <row r="14">
          <cell r="P14">
            <v>0.55000000000000004</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I SES"/>
      <sheetName val="PAI REGALÍAS"/>
    </sheetNames>
    <sheetDataSet>
      <sheetData sheetId="0"/>
      <sheetData sheetId="1">
        <row r="7">
          <cell r="P7">
            <v>0.75</v>
          </cell>
        </row>
        <row r="8">
          <cell r="P8">
            <v>95</v>
          </cell>
        </row>
        <row r="9">
          <cell r="P9">
            <v>0.8</v>
          </cell>
        </row>
        <row r="10">
          <cell r="P10">
            <v>0.75</v>
          </cell>
        </row>
        <row r="11">
          <cell r="P11">
            <v>95</v>
          </cell>
        </row>
        <row r="12">
          <cell r="P12">
            <v>0.8</v>
          </cell>
        </row>
        <row r="13">
          <cell r="P13">
            <v>0.9</v>
          </cell>
        </row>
        <row r="14">
          <cell r="P14">
            <v>0.55000000000000004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93395-2E79-427D-A73D-0466D273D36F}">
  <sheetPr>
    <tabColor theme="9" tint="-0.249977111117893"/>
  </sheetPr>
  <dimension ref="A1:I45"/>
  <sheetViews>
    <sheetView tabSelected="1" workbookViewId="0">
      <selection activeCell="I1" sqref="I1"/>
    </sheetView>
  </sheetViews>
  <sheetFormatPr baseColWidth="10" defaultColWidth="11.42578125" defaultRowHeight="15" x14ac:dyDescent="0.25"/>
  <cols>
    <col min="1" max="1" width="19.140625" style="306" bestFit="1" customWidth="1"/>
    <col min="2" max="2" width="27.7109375" style="306" customWidth="1"/>
    <col min="3" max="3" width="12" style="306" hidden="1" customWidth="1"/>
    <col min="4" max="6" width="11.42578125" style="306" hidden="1" customWidth="1"/>
    <col min="7" max="16384" width="11.42578125" style="306"/>
  </cols>
  <sheetData>
    <row r="1" spans="1:9" s="320" customFormat="1" x14ac:dyDescent="0.25">
      <c r="A1" s="386" t="s">
        <v>17</v>
      </c>
      <c r="B1" s="386" t="s">
        <v>18</v>
      </c>
      <c r="C1" s="384" t="s">
        <v>871</v>
      </c>
      <c r="D1" s="385"/>
      <c r="E1" s="384" t="s">
        <v>872</v>
      </c>
      <c r="F1" s="385"/>
      <c r="G1" s="384" t="s">
        <v>873</v>
      </c>
      <c r="H1" s="385"/>
    </row>
    <row r="2" spans="1:9" s="323" customFormat="1" ht="30" x14ac:dyDescent="0.25">
      <c r="A2" s="387"/>
      <c r="B2" s="387"/>
      <c r="C2" s="321" t="s">
        <v>874</v>
      </c>
      <c r="D2" s="322" t="s">
        <v>875</v>
      </c>
      <c r="E2" s="321" t="s">
        <v>874</v>
      </c>
      <c r="F2" s="322" t="s">
        <v>875</v>
      </c>
      <c r="G2" s="321" t="s">
        <v>874</v>
      </c>
      <c r="H2" s="322" t="s">
        <v>875</v>
      </c>
    </row>
    <row r="3" spans="1:9" x14ac:dyDescent="0.25">
      <c r="A3" s="324" t="s">
        <v>876</v>
      </c>
      <c r="B3" s="325"/>
      <c r="C3" s="326">
        <v>7.0000000000000007E-2</v>
      </c>
      <c r="D3" s="327">
        <v>0.11</v>
      </c>
      <c r="E3" s="326">
        <v>0.14000000000000001</v>
      </c>
      <c r="F3" s="327">
        <v>0.18</v>
      </c>
      <c r="G3" s="328">
        <v>0.28000000000000003</v>
      </c>
      <c r="H3" s="329">
        <v>0.31</v>
      </c>
    </row>
    <row r="4" spans="1:9" x14ac:dyDescent="0.25">
      <c r="A4" s="324" t="s">
        <v>877</v>
      </c>
      <c r="B4" s="325"/>
      <c r="C4" s="326">
        <v>0.16900000000000001</v>
      </c>
      <c r="D4" s="327">
        <v>0.19700000000000001</v>
      </c>
      <c r="E4" s="326">
        <v>0.18099999999999999</v>
      </c>
      <c r="F4" s="327">
        <v>0.17399999999999999</v>
      </c>
      <c r="G4" s="328">
        <v>0.27</v>
      </c>
      <c r="H4" s="329">
        <v>0.28599999999999998</v>
      </c>
    </row>
    <row r="5" spans="1:9" x14ac:dyDescent="0.25">
      <c r="A5" s="324" t="s">
        <v>878</v>
      </c>
      <c r="B5" s="325"/>
      <c r="C5" s="326">
        <v>0.125</v>
      </c>
      <c r="D5" s="327">
        <v>0.158</v>
      </c>
      <c r="E5" s="326">
        <v>0.16</v>
      </c>
      <c r="F5" s="327">
        <v>7.6999999999999999E-2</v>
      </c>
      <c r="G5" s="328">
        <v>0.34699999999999998</v>
      </c>
      <c r="H5" s="329">
        <v>0.28199999999999997</v>
      </c>
      <c r="I5" s="330"/>
    </row>
    <row r="6" spans="1:9" x14ac:dyDescent="0.25">
      <c r="A6" s="331" t="s">
        <v>879</v>
      </c>
      <c r="B6" s="325"/>
      <c r="C6" s="326">
        <v>0.17</v>
      </c>
      <c r="D6" s="332" t="s">
        <v>283</v>
      </c>
      <c r="E6" s="326">
        <v>0.20599999999999999</v>
      </c>
      <c r="F6" s="327">
        <v>0.20799999999999999</v>
      </c>
      <c r="G6" s="328">
        <v>0.28999999999999998</v>
      </c>
      <c r="H6" s="333" t="s">
        <v>283</v>
      </c>
    </row>
    <row r="7" spans="1:9" x14ac:dyDescent="0.25">
      <c r="A7" s="334" t="s">
        <v>543</v>
      </c>
      <c r="B7" s="335"/>
      <c r="C7" s="336">
        <v>4.4999999999999998E-2</v>
      </c>
      <c r="D7" s="337">
        <v>5.6000000000000001E-2</v>
      </c>
      <c r="E7" s="336">
        <v>0.27700000000000002</v>
      </c>
      <c r="F7" s="337">
        <v>0.20200000000000001</v>
      </c>
      <c r="G7" s="338">
        <v>0.53300000000000003</v>
      </c>
      <c r="H7" s="339">
        <v>0.27700000000000002</v>
      </c>
    </row>
    <row r="8" spans="1:9" x14ac:dyDescent="0.25">
      <c r="A8" s="334" t="s">
        <v>880</v>
      </c>
      <c r="B8" s="335"/>
      <c r="C8" s="336">
        <v>9.2999999999999999E-2</v>
      </c>
      <c r="D8" s="337">
        <v>9.2999999999999999E-2</v>
      </c>
      <c r="E8" s="336">
        <v>0.186</v>
      </c>
      <c r="F8" s="337">
        <v>0.17599999999999999</v>
      </c>
      <c r="G8" s="338">
        <v>0.28000000000000003</v>
      </c>
      <c r="H8" s="339">
        <v>0.27100000000000002</v>
      </c>
    </row>
    <row r="9" spans="1:9" x14ac:dyDescent="0.25">
      <c r="A9" s="371" t="s">
        <v>726</v>
      </c>
      <c r="B9" s="340" t="s">
        <v>759</v>
      </c>
      <c r="C9" s="341">
        <v>8.3000000000000004E-2</v>
      </c>
      <c r="D9" s="342" t="s">
        <v>283</v>
      </c>
      <c r="E9" s="343">
        <v>0.16700000000000001</v>
      </c>
      <c r="F9" s="342" t="s">
        <v>283</v>
      </c>
      <c r="G9" s="345">
        <v>0.33100000000000002</v>
      </c>
      <c r="H9" s="346" t="s">
        <v>283</v>
      </c>
    </row>
    <row r="10" spans="1:9" x14ac:dyDescent="0.25">
      <c r="A10" s="372"/>
      <c r="B10" s="340" t="s">
        <v>775</v>
      </c>
      <c r="C10" s="341">
        <v>0.22</v>
      </c>
      <c r="D10" s="347">
        <v>0.05</v>
      </c>
      <c r="E10" s="343">
        <v>0.23100000000000001</v>
      </c>
      <c r="F10" s="344" t="s">
        <v>283</v>
      </c>
      <c r="G10" s="345">
        <v>0.35699999999999998</v>
      </c>
      <c r="H10" s="348">
        <v>0.18</v>
      </c>
    </row>
    <row r="11" spans="1:9" x14ac:dyDescent="0.25">
      <c r="A11" s="372"/>
      <c r="B11" s="340" t="s">
        <v>350</v>
      </c>
      <c r="C11" s="341">
        <v>0.05</v>
      </c>
      <c r="D11" s="347">
        <v>0</v>
      </c>
      <c r="E11" s="343">
        <v>0.28000000000000003</v>
      </c>
      <c r="F11" s="344">
        <v>0.09</v>
      </c>
      <c r="G11" s="345">
        <v>0.13100000000000001</v>
      </c>
      <c r="H11" s="348">
        <v>0.17699999999999999</v>
      </c>
    </row>
    <row r="12" spans="1:9" x14ac:dyDescent="0.25">
      <c r="A12" s="372"/>
      <c r="B12" s="340" t="s">
        <v>827</v>
      </c>
      <c r="C12" s="341">
        <v>7.9000000000000001E-2</v>
      </c>
      <c r="D12" s="344" t="s">
        <v>283</v>
      </c>
      <c r="E12" s="343">
        <v>0.113</v>
      </c>
      <c r="F12" s="344">
        <v>0.16500000000000001</v>
      </c>
      <c r="G12" s="345">
        <v>0.377</v>
      </c>
      <c r="H12" s="348" t="s">
        <v>283</v>
      </c>
    </row>
    <row r="13" spans="1:9" x14ac:dyDescent="0.25">
      <c r="A13" s="372"/>
      <c r="B13" s="340" t="s">
        <v>843</v>
      </c>
      <c r="C13" s="341">
        <v>0.08</v>
      </c>
      <c r="D13" s="347">
        <v>0</v>
      </c>
      <c r="E13" s="343">
        <v>0.248</v>
      </c>
      <c r="F13" s="344" t="s">
        <v>283</v>
      </c>
      <c r="G13" s="345">
        <v>0.23400000000000001</v>
      </c>
      <c r="H13" s="348">
        <v>0.2</v>
      </c>
    </row>
    <row r="14" spans="1:9" s="320" customFormat="1" x14ac:dyDescent="0.25">
      <c r="A14" s="373"/>
      <c r="B14" s="349" t="s">
        <v>881</v>
      </c>
      <c r="C14" s="350">
        <f>AVERAGE(C9:C13)</f>
        <v>0.1024</v>
      </c>
      <c r="D14" s="350">
        <f t="shared" ref="D14:F14" si="0">AVERAGE(D9:D13)</f>
        <v>1.6666666666666666E-2</v>
      </c>
      <c r="E14" s="350">
        <f t="shared" si="0"/>
        <v>0.20780000000000004</v>
      </c>
      <c r="F14" s="350">
        <f t="shared" si="0"/>
        <v>0.1275</v>
      </c>
      <c r="G14" s="351">
        <v>0.28599999999999998</v>
      </c>
      <c r="H14" s="351">
        <v>0.186</v>
      </c>
    </row>
    <row r="15" spans="1:9" x14ac:dyDescent="0.25">
      <c r="A15" s="368" t="s">
        <v>882</v>
      </c>
      <c r="B15" s="340" t="s">
        <v>725</v>
      </c>
      <c r="C15" s="341">
        <v>0.27800000000000002</v>
      </c>
      <c r="D15" s="347">
        <v>0.377</v>
      </c>
      <c r="E15" s="343">
        <v>0.30499999999999999</v>
      </c>
      <c r="F15" s="344">
        <v>0.41799999999999998</v>
      </c>
      <c r="G15" s="343">
        <v>0.249</v>
      </c>
      <c r="H15" s="344">
        <v>0.39</v>
      </c>
    </row>
    <row r="16" spans="1:9" x14ac:dyDescent="0.25">
      <c r="A16" s="369"/>
      <c r="B16" s="352" t="s">
        <v>327</v>
      </c>
      <c r="C16" s="341">
        <v>0.09</v>
      </c>
      <c r="D16" s="344" t="s">
        <v>283</v>
      </c>
      <c r="E16" s="343">
        <v>0.192</v>
      </c>
      <c r="F16" s="344" t="s">
        <v>283</v>
      </c>
      <c r="G16" s="343">
        <v>0.30659999999999998</v>
      </c>
      <c r="H16" s="344" t="s">
        <v>283</v>
      </c>
    </row>
    <row r="17" spans="1:8" s="320" customFormat="1" x14ac:dyDescent="0.25">
      <c r="A17" s="370"/>
      <c r="B17" s="349" t="s">
        <v>883</v>
      </c>
      <c r="C17" s="350">
        <f>AVERAGE(C15:C16)</f>
        <v>0.184</v>
      </c>
      <c r="D17" s="350">
        <f t="shared" ref="D17:H17" si="1">AVERAGE(D15:D16)</f>
        <v>0.377</v>
      </c>
      <c r="E17" s="350">
        <f t="shared" si="1"/>
        <v>0.2485</v>
      </c>
      <c r="F17" s="350">
        <f t="shared" si="1"/>
        <v>0.41799999999999998</v>
      </c>
      <c r="G17" s="350">
        <f t="shared" si="1"/>
        <v>0.27779999999999999</v>
      </c>
      <c r="H17" s="350">
        <f t="shared" si="1"/>
        <v>0.39</v>
      </c>
    </row>
    <row r="18" spans="1:8" x14ac:dyDescent="0.25">
      <c r="A18" s="371" t="s">
        <v>52</v>
      </c>
      <c r="B18" s="306" t="s">
        <v>52</v>
      </c>
      <c r="C18" s="353">
        <v>6.6000000000000003E-2</v>
      </c>
      <c r="D18" s="342">
        <v>4.2999999999999997E-2</v>
      </c>
      <c r="E18" s="353">
        <v>0.14099999999999999</v>
      </c>
      <c r="F18" s="342">
        <v>0.309</v>
      </c>
      <c r="G18" s="353">
        <v>0.21381040981731037</v>
      </c>
      <c r="H18" s="342">
        <v>0.30772414439430207</v>
      </c>
    </row>
    <row r="19" spans="1:8" x14ac:dyDescent="0.25">
      <c r="A19" s="372"/>
      <c r="B19" s="352" t="s">
        <v>101</v>
      </c>
      <c r="C19" s="354">
        <v>5.8000000000000003E-2</v>
      </c>
      <c r="D19" s="355">
        <v>4.8000000000000001E-2</v>
      </c>
      <c r="E19" s="354">
        <v>0.11899999999999999</v>
      </c>
      <c r="F19" s="355">
        <v>0.10199999999999999</v>
      </c>
      <c r="G19" s="354">
        <v>0.17796101825015551</v>
      </c>
      <c r="H19" s="355">
        <v>0.15739265440816538</v>
      </c>
    </row>
    <row r="20" spans="1:8" x14ac:dyDescent="0.25">
      <c r="A20" s="372"/>
      <c r="B20" s="352" t="s">
        <v>143</v>
      </c>
      <c r="C20" s="354">
        <v>5.2999999999999999E-2</v>
      </c>
      <c r="D20" s="355">
        <v>0.04</v>
      </c>
      <c r="E20" s="354">
        <v>0.11700000000000001</v>
      </c>
      <c r="F20" s="355">
        <v>0.13</v>
      </c>
      <c r="G20" s="354">
        <v>0.1751297719955319</v>
      </c>
      <c r="H20" s="355">
        <v>0.18796330118845775</v>
      </c>
    </row>
    <row r="21" spans="1:8" x14ac:dyDescent="0.25">
      <c r="A21" s="372"/>
      <c r="B21" s="352" t="s">
        <v>175</v>
      </c>
      <c r="C21" s="354">
        <v>6.2E-2</v>
      </c>
      <c r="D21" s="355">
        <v>3.9E-2</v>
      </c>
      <c r="E21" s="354">
        <v>0.13800000000000001</v>
      </c>
      <c r="F21" s="355">
        <v>0.112</v>
      </c>
      <c r="G21" s="354">
        <v>0.19205324916536967</v>
      </c>
      <c r="H21" s="355">
        <v>0.16432466949708327</v>
      </c>
    </row>
    <row r="22" spans="1:8" x14ac:dyDescent="0.25">
      <c r="A22" s="372"/>
      <c r="B22" s="352" t="s">
        <v>206</v>
      </c>
      <c r="C22" s="354">
        <v>8.7999999999999995E-2</v>
      </c>
      <c r="D22" s="355">
        <v>2.7E-2</v>
      </c>
      <c r="E22" s="354">
        <v>0.129</v>
      </c>
      <c r="F22" s="355">
        <v>9.8000000000000004E-2</v>
      </c>
      <c r="G22" s="354">
        <v>0.2119064456143108</v>
      </c>
      <c r="H22" s="355">
        <v>0.15796857463524128</v>
      </c>
    </row>
    <row r="23" spans="1:8" x14ac:dyDescent="0.25">
      <c r="A23" s="372"/>
      <c r="B23" s="352" t="s">
        <v>235</v>
      </c>
      <c r="C23" s="354">
        <v>6.9000000000000006E-2</v>
      </c>
      <c r="D23" s="355">
        <v>0.107</v>
      </c>
      <c r="E23" s="354">
        <v>0.155</v>
      </c>
      <c r="F23" s="355">
        <v>0.17599999999999999</v>
      </c>
      <c r="G23" s="354">
        <v>0.23713199351388434</v>
      </c>
      <c r="H23" s="355">
        <v>0.24954029479253645</v>
      </c>
    </row>
    <row r="24" spans="1:8" x14ac:dyDescent="0.25">
      <c r="A24" s="372"/>
      <c r="B24" s="352" t="s">
        <v>266</v>
      </c>
      <c r="C24" s="354">
        <v>4.4999999999999998E-2</v>
      </c>
      <c r="D24" s="342" t="s">
        <v>283</v>
      </c>
      <c r="E24" s="354">
        <v>6.5000000000000002E-2</v>
      </c>
      <c r="F24" s="342" t="s">
        <v>283</v>
      </c>
      <c r="G24" s="354">
        <v>0.10975320899303144</v>
      </c>
      <c r="H24" s="342" t="s">
        <v>283</v>
      </c>
    </row>
    <row r="25" spans="1:8" x14ac:dyDescent="0.25">
      <c r="A25" s="372"/>
      <c r="B25" s="352" t="s">
        <v>284</v>
      </c>
      <c r="C25" s="354">
        <v>2E-3</v>
      </c>
      <c r="D25" s="342">
        <v>0</v>
      </c>
      <c r="E25" s="354">
        <v>3.4000000000000002E-2</v>
      </c>
      <c r="F25" s="342">
        <v>4.7E-2</v>
      </c>
      <c r="G25" s="354">
        <v>5.7739130434782605E-2</v>
      </c>
      <c r="H25" s="342">
        <v>0.2116991643454039</v>
      </c>
    </row>
    <row r="26" spans="1:8" x14ac:dyDescent="0.25">
      <c r="A26" s="372"/>
      <c r="B26" s="352" t="s">
        <v>884</v>
      </c>
      <c r="C26" s="341">
        <v>7.1999999999999995E-2</v>
      </c>
      <c r="D26" s="344" t="s">
        <v>283</v>
      </c>
      <c r="E26" s="341">
        <v>0.16200000000000001</v>
      </c>
      <c r="F26" s="344" t="s">
        <v>283</v>
      </c>
      <c r="G26" s="341">
        <v>0.24082112332112335</v>
      </c>
      <c r="H26" s="344" t="s">
        <v>283</v>
      </c>
    </row>
    <row r="27" spans="1:8" x14ac:dyDescent="0.25">
      <c r="A27" s="372"/>
      <c r="B27" s="352" t="s">
        <v>361</v>
      </c>
      <c r="C27" s="341">
        <v>1.0999999999999999E-2</v>
      </c>
      <c r="D27" s="344" t="s">
        <v>283</v>
      </c>
      <c r="E27" s="341">
        <v>0.11899999999999999</v>
      </c>
      <c r="F27" s="344" t="s">
        <v>283</v>
      </c>
      <c r="G27" s="341">
        <v>0.18954609929078015</v>
      </c>
      <c r="H27" s="344" t="s">
        <v>283</v>
      </c>
    </row>
    <row r="28" spans="1:8" s="320" customFormat="1" x14ac:dyDescent="0.25">
      <c r="A28" s="373"/>
      <c r="B28" s="349" t="s">
        <v>885</v>
      </c>
      <c r="C28" s="350">
        <f>AVERAGE(C18:C27)</f>
        <v>5.2599999999999994E-2</v>
      </c>
      <c r="D28" s="350">
        <f>AVERAGE(D18:D25)</f>
        <v>4.3428571428571427E-2</v>
      </c>
      <c r="E28" s="350">
        <f>AVERAGE(E18:E27)</f>
        <v>0.1179</v>
      </c>
      <c r="F28" s="350">
        <f>AVERAGE(F18:F25)</f>
        <v>0.13914285714285712</v>
      </c>
      <c r="G28" s="350">
        <f>AVERAGE(G18:G27)</f>
        <v>0.180585245039628</v>
      </c>
      <c r="H28" s="350">
        <f>AVERAGE(H18:H25)</f>
        <v>0.20523040046588428</v>
      </c>
    </row>
    <row r="29" spans="1:8" x14ac:dyDescent="0.25">
      <c r="A29" s="371" t="s">
        <v>886</v>
      </c>
      <c r="B29" s="357" t="s">
        <v>887</v>
      </c>
      <c r="C29" s="356">
        <v>6.4000000000000001E-2</v>
      </c>
      <c r="D29" s="358">
        <v>0.04</v>
      </c>
      <c r="E29" s="356">
        <v>0.128</v>
      </c>
      <c r="F29" s="358">
        <v>0.105</v>
      </c>
      <c r="G29" s="356">
        <v>0.17899999999999999</v>
      </c>
      <c r="H29" s="358">
        <v>0.192</v>
      </c>
    </row>
    <row r="30" spans="1:8" x14ac:dyDescent="0.25">
      <c r="A30" s="372"/>
      <c r="B30" s="352" t="s">
        <v>491</v>
      </c>
      <c r="C30" s="354">
        <v>0.09</v>
      </c>
      <c r="D30" s="355">
        <v>0.16</v>
      </c>
      <c r="E30" s="354">
        <v>0.14000000000000001</v>
      </c>
      <c r="F30" s="355">
        <v>0.20499999999999999</v>
      </c>
      <c r="G30" s="354">
        <v>0.3</v>
      </c>
      <c r="H30" s="355">
        <v>8.4000000000000005E-2</v>
      </c>
    </row>
    <row r="31" spans="1:8" s="320" customFormat="1" x14ac:dyDescent="0.25">
      <c r="A31" s="374"/>
      <c r="B31" s="349" t="s">
        <v>888</v>
      </c>
      <c r="C31" s="350">
        <f t="shared" ref="C31:H31" si="2">AVERAGE(C29:C30)</f>
        <v>7.6999999999999999E-2</v>
      </c>
      <c r="D31" s="350">
        <f t="shared" si="2"/>
        <v>0.1</v>
      </c>
      <c r="E31" s="350">
        <f t="shared" si="2"/>
        <v>0.13400000000000001</v>
      </c>
      <c r="F31" s="350">
        <f t="shared" si="2"/>
        <v>0.155</v>
      </c>
      <c r="G31" s="350">
        <f t="shared" si="2"/>
        <v>0.23949999999999999</v>
      </c>
      <c r="H31" s="350">
        <f t="shared" si="2"/>
        <v>0.13800000000000001</v>
      </c>
    </row>
    <row r="32" spans="1:8" ht="15.75" x14ac:dyDescent="0.25">
      <c r="A32" s="359" t="s">
        <v>889</v>
      </c>
      <c r="B32" s="359"/>
      <c r="C32" s="360">
        <f>AVERAGE(C28,C31,C14,C8,C7,C4,C3)</f>
        <v>8.6999999999999994E-2</v>
      </c>
      <c r="D32" s="360">
        <f>AVERAGE(D31,D28,D14,D8,D7,D4,D3)</f>
        <v>8.8013605442176873E-2</v>
      </c>
      <c r="E32" s="360">
        <f>AVERAGE(E3,E4,E7,E8,E14,E28,E31)</f>
        <v>0.17767142857142856</v>
      </c>
      <c r="F32" s="360">
        <f>AVERAGE(F3,F4,F7,F8,F14,F28,F31)</f>
        <v>0.16480612244897958</v>
      </c>
      <c r="G32" s="360">
        <f>AVERAGE(G3,G4,G7,G8,G14,G28,G31,G5,G6,G17)</f>
        <v>0.2983885245039628</v>
      </c>
      <c r="H32" s="360">
        <f>AVERAGE(H3,H4,H7,H8,H14,H28,H31,H5,H17)</f>
        <v>0.26058115560732048</v>
      </c>
    </row>
    <row r="33" spans="1:9" ht="15.75" thickBot="1" x14ac:dyDescent="0.3"/>
    <row r="34" spans="1:9" x14ac:dyDescent="0.25">
      <c r="A34" s="375" t="s">
        <v>890</v>
      </c>
      <c r="B34" s="376"/>
      <c r="C34" s="376"/>
      <c r="D34" s="376"/>
      <c r="E34" s="376"/>
      <c r="F34" s="376"/>
      <c r="G34" s="376"/>
      <c r="H34" s="376"/>
      <c r="I34" s="377"/>
    </row>
    <row r="35" spans="1:9" x14ac:dyDescent="0.25">
      <c r="A35" s="378"/>
      <c r="B35" s="379"/>
      <c r="C35" s="379"/>
      <c r="D35" s="379"/>
      <c r="E35" s="379"/>
      <c r="F35" s="379"/>
      <c r="G35" s="379"/>
      <c r="H35" s="379"/>
      <c r="I35" s="380"/>
    </row>
    <row r="36" spans="1:9" x14ac:dyDescent="0.25">
      <c r="A36" s="378"/>
      <c r="B36" s="379"/>
      <c r="C36" s="379"/>
      <c r="D36" s="379"/>
      <c r="E36" s="379"/>
      <c r="F36" s="379"/>
      <c r="G36" s="379"/>
      <c r="H36" s="379"/>
      <c r="I36" s="380"/>
    </row>
    <row r="37" spans="1:9" ht="15.75" thickBot="1" x14ac:dyDescent="0.3">
      <c r="A37" s="381"/>
      <c r="B37" s="382"/>
      <c r="C37" s="382"/>
      <c r="D37" s="382"/>
      <c r="E37" s="382"/>
      <c r="F37" s="382"/>
      <c r="G37" s="382"/>
      <c r="H37" s="382"/>
      <c r="I37" s="383"/>
    </row>
    <row r="38" spans="1:9" x14ac:dyDescent="0.25">
      <c r="C38" s="361"/>
    </row>
    <row r="39" spans="1:9" x14ac:dyDescent="0.25">
      <c r="C39" s="362"/>
    </row>
    <row r="41" spans="1:9" x14ac:dyDescent="0.25">
      <c r="C41" s="363"/>
    </row>
    <row r="43" spans="1:9" x14ac:dyDescent="0.25">
      <c r="B43" s="362"/>
    </row>
    <row r="44" spans="1:9" x14ac:dyDescent="0.25">
      <c r="C44" s="361"/>
    </row>
    <row r="45" spans="1:9" x14ac:dyDescent="0.25">
      <c r="C45" s="362"/>
    </row>
  </sheetData>
  <sheetProtection algorithmName="SHA-512" hashValue="yd06XKK/ZlEiaFTsKMA28SYEa5RjssnfLXNQAZmS41RAdkQNgcc7eG+FL3n/BZGQt4dIUQf4EGFeVTyAlHjYgg==" saltValue="EOkpgVWCoRNLth3dafLSSA==" spinCount="100000" sheet="1" objects="1" scenarios="1" selectLockedCells="1" selectUnlockedCells="1"/>
  <mergeCells count="10">
    <mergeCell ref="A15:A17"/>
    <mergeCell ref="A18:A28"/>
    <mergeCell ref="A29:A31"/>
    <mergeCell ref="A34:I37"/>
    <mergeCell ref="E1:F1"/>
    <mergeCell ref="G1:H1"/>
    <mergeCell ref="A9:A14"/>
    <mergeCell ref="A1:A2"/>
    <mergeCell ref="B1:B2"/>
    <mergeCell ref="C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CF8E7-6479-47E2-9661-F9590675E1FA}">
  <sheetPr>
    <tabColor rgb="FFFF0000"/>
  </sheetPr>
  <dimension ref="A1:BU410"/>
  <sheetViews>
    <sheetView topLeftCell="AN1" zoomScale="96" zoomScaleNormal="96" workbookViewId="0">
      <selection activeCell="AV13" sqref="AV13"/>
    </sheetView>
  </sheetViews>
  <sheetFormatPr baseColWidth="10" defaultRowHeight="15" x14ac:dyDescent="0.25"/>
  <cols>
    <col min="1" max="1" width="21.140625" style="260" customWidth="1"/>
    <col min="2" max="2" width="17.85546875" style="260" customWidth="1"/>
    <col min="3" max="3" width="24.140625" style="260" customWidth="1"/>
    <col min="4" max="4" width="26.42578125" style="260" customWidth="1"/>
    <col min="5" max="5" width="18.140625" style="260" customWidth="1"/>
    <col min="6" max="6" width="20.5703125" style="260" customWidth="1"/>
    <col min="7" max="7" width="14" style="260" customWidth="1"/>
    <col min="8" max="8" width="16.5703125" style="260" customWidth="1"/>
    <col min="9" max="9" width="15.140625" style="260" customWidth="1"/>
    <col min="10" max="10" width="15.85546875" style="260" customWidth="1"/>
    <col min="11" max="11" width="16.42578125" style="260" customWidth="1"/>
    <col min="12" max="12" width="21.85546875" style="260" customWidth="1"/>
    <col min="13" max="13" width="23" style="260" customWidth="1"/>
    <col min="14" max="14" width="11.42578125" style="260"/>
    <col min="15" max="15" width="13.5703125" style="260" customWidth="1"/>
    <col min="16" max="16" width="11.42578125" style="260"/>
    <col min="17" max="17" width="20.28515625" style="260" customWidth="1"/>
    <col min="18" max="18" width="20.140625" style="260" customWidth="1"/>
    <col min="19" max="19" width="12.28515625" style="260" customWidth="1"/>
    <col min="20" max="20" width="11.42578125" style="260"/>
    <col min="21" max="21" width="11.5703125" style="260" customWidth="1"/>
    <col min="22" max="22" width="15.5703125" style="261" customWidth="1"/>
    <col min="23" max="23" width="16.7109375" style="261" customWidth="1"/>
    <col min="24" max="24" width="16.7109375" style="260" customWidth="1"/>
    <col min="25" max="25" width="16.28515625" style="260" customWidth="1"/>
    <col min="26" max="26" width="11.42578125" style="260"/>
    <col min="27" max="27" width="16" style="260" customWidth="1"/>
    <col min="28" max="28" width="40.5703125" style="260" customWidth="1"/>
    <col min="29" max="29" width="14.5703125" style="260" customWidth="1"/>
    <col min="30" max="30" width="11.42578125" style="260"/>
    <col min="31" max="31" width="13" style="260" customWidth="1"/>
    <col min="32" max="32" width="32.85546875" style="260" customWidth="1"/>
    <col min="33" max="33" width="18.140625" style="260" bestFit="1" customWidth="1"/>
    <col min="34" max="34" width="11.42578125" style="260"/>
    <col min="35" max="35" width="16" style="260" customWidth="1"/>
    <col min="36" max="36" width="40.5703125" style="260" customWidth="1"/>
    <col min="37" max="37" width="17.140625" style="260" bestFit="1" customWidth="1"/>
    <col min="38" max="38" width="11.42578125" style="260"/>
    <col min="39" max="39" width="13" style="260" customWidth="1"/>
    <col min="40" max="40" width="32.85546875" style="260" customWidth="1"/>
    <col min="41" max="41" width="18.140625" style="260" bestFit="1" customWidth="1"/>
    <col min="42" max="42" width="11.42578125" style="260"/>
    <col min="43" max="43" width="16" style="260" customWidth="1"/>
    <col min="44" max="44" width="40.5703125" style="260" customWidth="1"/>
    <col min="45" max="45" width="17.140625" style="260" bestFit="1" customWidth="1"/>
    <col min="46" max="46" width="11.42578125" style="260"/>
    <col min="47" max="47" width="13" style="260" customWidth="1"/>
    <col min="48" max="48" width="32.85546875" style="260" customWidth="1"/>
    <col min="49" max="49" width="16.42578125" style="285" customWidth="1"/>
    <col min="50" max="73" width="11.42578125" style="285"/>
    <col min="74" max="16384" width="11.42578125" style="260"/>
  </cols>
  <sheetData>
    <row r="1" spans="1:73" s="1" customFormat="1" ht="15.75" x14ac:dyDescent="0.25">
      <c r="C1" s="413" t="s">
        <v>0</v>
      </c>
      <c r="D1" s="413"/>
      <c r="E1" s="413"/>
      <c r="F1" s="413"/>
      <c r="G1" s="413"/>
      <c r="H1" s="413"/>
      <c r="I1" s="413"/>
      <c r="J1" s="413"/>
      <c r="K1" s="413"/>
      <c r="L1" s="413"/>
      <c r="M1" s="413"/>
      <c r="N1" s="413"/>
      <c r="O1" s="413"/>
      <c r="P1" s="413"/>
      <c r="Q1" s="413"/>
      <c r="R1" s="413"/>
      <c r="S1" s="413"/>
      <c r="T1" s="413"/>
      <c r="U1" s="413"/>
      <c r="V1" s="413"/>
      <c r="W1" s="413"/>
      <c r="X1" s="413"/>
      <c r="AE1" s="2"/>
      <c r="AF1" s="3"/>
      <c r="AM1" s="2"/>
      <c r="AN1" s="3"/>
      <c r="AU1" s="4" t="s">
        <v>1</v>
      </c>
      <c r="AV1" s="5">
        <v>43458</v>
      </c>
    </row>
    <row r="2" spans="1:73" s="1" customFormat="1" ht="30" customHeight="1" x14ac:dyDescent="0.25">
      <c r="C2" s="413"/>
      <c r="D2" s="413"/>
      <c r="E2" s="413"/>
      <c r="F2" s="413"/>
      <c r="G2" s="413"/>
      <c r="H2" s="413"/>
      <c r="I2" s="413"/>
      <c r="J2" s="413"/>
      <c r="K2" s="413"/>
      <c r="L2" s="413"/>
      <c r="M2" s="413"/>
      <c r="N2" s="413"/>
      <c r="O2" s="413"/>
      <c r="P2" s="413"/>
      <c r="Q2" s="413"/>
      <c r="R2" s="413"/>
      <c r="S2" s="413"/>
      <c r="T2" s="413"/>
      <c r="U2" s="413"/>
      <c r="V2" s="413"/>
      <c r="W2" s="413"/>
      <c r="X2" s="413"/>
      <c r="AE2" s="2"/>
      <c r="AF2" s="2"/>
      <c r="AM2" s="2"/>
      <c r="AN2" s="2"/>
      <c r="AU2" s="4" t="s">
        <v>2</v>
      </c>
      <c r="AV2" s="4">
        <v>5</v>
      </c>
    </row>
    <row r="3" spans="1:73" s="1" customFormat="1" ht="29.25" customHeight="1" x14ac:dyDescent="0.25">
      <c r="C3" s="413"/>
      <c r="D3" s="413"/>
      <c r="E3" s="413"/>
      <c r="F3" s="413"/>
      <c r="G3" s="413"/>
      <c r="H3" s="413"/>
      <c r="I3" s="413"/>
      <c r="J3" s="413"/>
      <c r="K3" s="413"/>
      <c r="L3" s="413"/>
      <c r="M3" s="413"/>
      <c r="N3" s="413"/>
      <c r="O3" s="413"/>
      <c r="P3" s="413"/>
      <c r="Q3" s="413"/>
      <c r="R3" s="413"/>
      <c r="S3" s="413"/>
      <c r="T3" s="413"/>
      <c r="U3" s="413"/>
      <c r="V3" s="413"/>
      <c r="W3" s="413"/>
      <c r="X3" s="413"/>
      <c r="AE3" s="2"/>
      <c r="AF3" s="2"/>
      <c r="AM3" s="2"/>
      <c r="AN3" s="2"/>
      <c r="AU3" s="4" t="s">
        <v>3</v>
      </c>
      <c r="AV3" s="4" t="s">
        <v>4</v>
      </c>
    </row>
    <row r="4" spans="1:73" s="203" customFormat="1" x14ac:dyDescent="0.25">
      <c r="A4" s="414" t="s">
        <v>5</v>
      </c>
      <c r="B4" s="415"/>
      <c r="C4" s="415"/>
      <c r="D4" s="415"/>
      <c r="E4" s="415"/>
      <c r="F4" s="415"/>
      <c r="G4" s="415"/>
      <c r="H4" s="415"/>
      <c r="I4" s="415"/>
      <c r="J4" s="415"/>
      <c r="K4" s="416"/>
      <c r="L4" s="417" t="s">
        <v>6</v>
      </c>
      <c r="M4" s="418"/>
      <c r="N4" s="418"/>
      <c r="O4" s="418"/>
      <c r="P4" s="419"/>
      <c r="Q4" s="417" t="s">
        <v>7</v>
      </c>
      <c r="R4" s="418"/>
      <c r="S4" s="418"/>
      <c r="T4" s="418"/>
      <c r="U4" s="419"/>
      <c r="V4" s="420" t="s">
        <v>8</v>
      </c>
      <c r="W4" s="421"/>
      <c r="X4" s="424" t="s">
        <v>9</v>
      </c>
      <c r="Y4" s="403" t="s">
        <v>10</v>
      </c>
      <c r="Z4" s="404"/>
      <c r="AA4" s="404"/>
      <c r="AB4" s="404"/>
      <c r="AC4" s="404"/>
      <c r="AD4" s="404"/>
      <c r="AE4" s="404"/>
      <c r="AF4" s="405"/>
      <c r="AG4" s="403" t="s">
        <v>11</v>
      </c>
      <c r="AH4" s="404"/>
      <c r="AI4" s="404"/>
      <c r="AJ4" s="404"/>
      <c r="AK4" s="404"/>
      <c r="AL4" s="404"/>
      <c r="AM4" s="404"/>
      <c r="AN4" s="405"/>
      <c r="AO4" s="403" t="s">
        <v>12</v>
      </c>
      <c r="AP4" s="404"/>
      <c r="AQ4" s="404"/>
      <c r="AR4" s="404"/>
      <c r="AS4" s="404"/>
      <c r="AT4" s="404"/>
      <c r="AU4" s="404"/>
      <c r="AV4" s="405"/>
      <c r="AW4" s="277"/>
      <c r="AX4" s="277"/>
      <c r="AY4" s="277"/>
      <c r="AZ4" s="277"/>
      <c r="BA4" s="277"/>
      <c r="BB4" s="277"/>
      <c r="BC4" s="277"/>
      <c r="BD4" s="277"/>
      <c r="BE4" s="277"/>
      <c r="BF4" s="277"/>
      <c r="BG4" s="277"/>
      <c r="BH4" s="277"/>
      <c r="BI4" s="277"/>
      <c r="BJ4" s="277"/>
      <c r="BK4" s="277"/>
      <c r="BL4" s="277"/>
      <c r="BM4" s="277"/>
      <c r="BN4" s="277"/>
      <c r="BO4" s="277"/>
      <c r="BP4" s="277"/>
      <c r="BQ4" s="277"/>
      <c r="BR4" s="277"/>
      <c r="BS4" s="277"/>
      <c r="BT4" s="277"/>
      <c r="BU4" s="277"/>
    </row>
    <row r="5" spans="1:73" s="203" customFormat="1" ht="30" x14ac:dyDescent="0.25">
      <c r="A5" s="406" t="s">
        <v>13</v>
      </c>
      <c r="B5" s="407"/>
      <c r="C5" s="408"/>
      <c r="D5" s="205" t="s">
        <v>14</v>
      </c>
      <c r="E5" s="406" t="s">
        <v>15</v>
      </c>
      <c r="F5" s="408"/>
      <c r="G5" s="406" t="s">
        <v>16</v>
      </c>
      <c r="H5" s="407"/>
      <c r="I5" s="408"/>
      <c r="J5" s="409" t="s">
        <v>17</v>
      </c>
      <c r="K5" s="409" t="s">
        <v>18</v>
      </c>
      <c r="L5" s="403"/>
      <c r="M5" s="404"/>
      <c r="N5" s="404"/>
      <c r="O5" s="404"/>
      <c r="P5" s="405"/>
      <c r="Q5" s="403"/>
      <c r="R5" s="404"/>
      <c r="S5" s="404"/>
      <c r="T5" s="404"/>
      <c r="U5" s="405"/>
      <c r="V5" s="422"/>
      <c r="W5" s="423"/>
      <c r="X5" s="425"/>
      <c r="Y5" s="406" t="s">
        <v>19</v>
      </c>
      <c r="Z5" s="407"/>
      <c r="AA5" s="407"/>
      <c r="AB5" s="411"/>
      <c r="AC5" s="412" t="s">
        <v>20</v>
      </c>
      <c r="AD5" s="407"/>
      <c r="AE5" s="407"/>
      <c r="AF5" s="408"/>
      <c r="AG5" s="406" t="s">
        <v>19</v>
      </c>
      <c r="AH5" s="407"/>
      <c r="AI5" s="407"/>
      <c r="AJ5" s="411"/>
      <c r="AK5" s="412" t="s">
        <v>20</v>
      </c>
      <c r="AL5" s="407"/>
      <c r="AM5" s="407"/>
      <c r="AN5" s="408"/>
      <c r="AO5" s="406" t="s">
        <v>19</v>
      </c>
      <c r="AP5" s="407"/>
      <c r="AQ5" s="407"/>
      <c r="AR5" s="411"/>
      <c r="AS5" s="412" t="s">
        <v>20</v>
      </c>
      <c r="AT5" s="407"/>
      <c r="AU5" s="407"/>
      <c r="AV5" s="408"/>
      <c r="AW5" s="277"/>
      <c r="AX5" s="277"/>
      <c r="AY5" s="277"/>
      <c r="AZ5" s="277"/>
      <c r="BA5" s="277"/>
      <c r="BB5" s="277"/>
      <c r="BC5" s="277"/>
      <c r="BD5" s="277"/>
      <c r="BE5" s="277"/>
      <c r="BF5" s="277"/>
      <c r="BG5" s="277"/>
      <c r="BH5" s="277"/>
      <c r="BI5" s="277"/>
      <c r="BJ5" s="277"/>
      <c r="BK5" s="277"/>
      <c r="BL5" s="277"/>
      <c r="BM5" s="277"/>
      <c r="BN5" s="277"/>
      <c r="BO5" s="277"/>
      <c r="BP5" s="277"/>
      <c r="BQ5" s="277"/>
      <c r="BR5" s="277"/>
      <c r="BS5" s="277"/>
      <c r="BT5" s="277"/>
      <c r="BU5" s="277"/>
    </row>
    <row r="6" spans="1:73" s="203" customFormat="1" ht="45" x14ac:dyDescent="0.25">
      <c r="A6" s="247" t="s">
        <v>21</v>
      </c>
      <c r="B6" s="247" t="s">
        <v>22</v>
      </c>
      <c r="C6" s="247" t="s">
        <v>23</v>
      </c>
      <c r="D6" s="247" t="s">
        <v>24</v>
      </c>
      <c r="E6" s="247" t="s">
        <v>25</v>
      </c>
      <c r="F6" s="247" t="s">
        <v>26</v>
      </c>
      <c r="G6" s="247" t="s">
        <v>27</v>
      </c>
      <c r="H6" s="247" t="s">
        <v>28</v>
      </c>
      <c r="I6" s="247" t="s">
        <v>29</v>
      </c>
      <c r="J6" s="410"/>
      <c r="K6" s="410"/>
      <c r="L6" s="247" t="s">
        <v>6</v>
      </c>
      <c r="M6" s="247" t="s">
        <v>30</v>
      </c>
      <c r="N6" s="247" t="s">
        <v>31</v>
      </c>
      <c r="O6" s="247" t="s">
        <v>32</v>
      </c>
      <c r="P6" s="247" t="s">
        <v>33</v>
      </c>
      <c r="Q6" s="247" t="s">
        <v>7</v>
      </c>
      <c r="R6" s="247" t="s">
        <v>34</v>
      </c>
      <c r="S6" s="247" t="s">
        <v>31</v>
      </c>
      <c r="T6" s="247" t="s">
        <v>32</v>
      </c>
      <c r="U6" s="247" t="s">
        <v>35</v>
      </c>
      <c r="V6" s="259" t="s">
        <v>36</v>
      </c>
      <c r="W6" s="259" t="s">
        <v>37</v>
      </c>
      <c r="X6" s="247" t="s">
        <v>38</v>
      </c>
      <c r="Y6" s="247" t="s">
        <v>39</v>
      </c>
      <c r="Z6" s="247" t="s">
        <v>40</v>
      </c>
      <c r="AA6" s="247" t="s">
        <v>41</v>
      </c>
      <c r="AB6" s="247" t="s">
        <v>42</v>
      </c>
      <c r="AC6" s="247" t="s">
        <v>39</v>
      </c>
      <c r="AD6" s="247" t="s">
        <v>40</v>
      </c>
      <c r="AE6" s="247" t="s">
        <v>41</v>
      </c>
      <c r="AF6" s="247" t="s">
        <v>42</v>
      </c>
      <c r="AG6" s="247" t="s">
        <v>39</v>
      </c>
      <c r="AH6" s="247" t="s">
        <v>40</v>
      </c>
      <c r="AI6" s="247" t="s">
        <v>41</v>
      </c>
      <c r="AJ6" s="247" t="s">
        <v>42</v>
      </c>
      <c r="AK6" s="247" t="s">
        <v>39</v>
      </c>
      <c r="AL6" s="247" t="s">
        <v>40</v>
      </c>
      <c r="AM6" s="247" t="s">
        <v>41</v>
      </c>
      <c r="AN6" s="247" t="s">
        <v>42</v>
      </c>
      <c r="AO6" s="247" t="s">
        <v>39</v>
      </c>
      <c r="AP6" s="247" t="s">
        <v>40</v>
      </c>
      <c r="AQ6" s="247" t="s">
        <v>41</v>
      </c>
      <c r="AR6" s="247" t="s">
        <v>42</v>
      </c>
      <c r="AS6" s="247" t="s">
        <v>39</v>
      </c>
      <c r="AT6" s="247" t="s">
        <v>40</v>
      </c>
      <c r="AU6" s="247" t="s">
        <v>41</v>
      </c>
      <c r="AV6" s="247" t="s">
        <v>42</v>
      </c>
      <c r="AW6" s="277"/>
      <c r="AX6" s="277"/>
      <c r="AY6" s="277"/>
      <c r="AZ6" s="277"/>
      <c r="BA6" s="277"/>
      <c r="BB6" s="277"/>
      <c r="BC6" s="277"/>
      <c r="BD6" s="277"/>
      <c r="BE6" s="277"/>
      <c r="BF6" s="277"/>
      <c r="BG6" s="277"/>
      <c r="BH6" s="277"/>
      <c r="BI6" s="277"/>
      <c r="BJ6" s="277"/>
      <c r="BK6" s="277"/>
      <c r="BL6" s="277"/>
      <c r="BM6" s="277"/>
      <c r="BN6" s="277"/>
      <c r="BO6" s="277"/>
      <c r="BP6" s="277"/>
      <c r="BQ6" s="277"/>
      <c r="BR6" s="277"/>
      <c r="BS6" s="277"/>
      <c r="BT6" s="277"/>
      <c r="BU6" s="277"/>
    </row>
    <row r="7" spans="1:73" s="263" customFormat="1" ht="132" x14ac:dyDescent="0.25">
      <c r="A7" s="426" t="s">
        <v>43</v>
      </c>
      <c r="B7" s="427" t="s">
        <v>44</v>
      </c>
      <c r="C7" s="393" t="s">
        <v>45</v>
      </c>
      <c r="D7" s="396" t="s">
        <v>306</v>
      </c>
      <c r="E7" s="393" t="s">
        <v>47</v>
      </c>
      <c r="F7" s="396" t="s">
        <v>678</v>
      </c>
      <c r="G7" s="393" t="s">
        <v>377</v>
      </c>
      <c r="H7" s="396" t="s">
        <v>541</v>
      </c>
      <c r="I7" s="393" t="s">
        <v>679</v>
      </c>
      <c r="J7" s="396" t="s">
        <v>680</v>
      </c>
      <c r="K7" s="393" t="s">
        <v>681</v>
      </c>
      <c r="L7" s="391" t="s">
        <v>682</v>
      </c>
      <c r="M7" s="391" t="s">
        <v>683</v>
      </c>
      <c r="N7" s="391" t="s">
        <v>56</v>
      </c>
      <c r="O7" s="391"/>
      <c r="P7" s="391">
        <v>5</v>
      </c>
      <c r="Q7" s="66" t="s">
        <v>684</v>
      </c>
      <c r="R7" s="66" t="s">
        <v>685</v>
      </c>
      <c r="S7" s="67" t="s">
        <v>56</v>
      </c>
      <c r="T7" s="67"/>
      <c r="U7" s="67">
        <v>8</v>
      </c>
      <c r="V7" s="254">
        <v>2197500000</v>
      </c>
      <c r="W7" s="399">
        <v>10000000000</v>
      </c>
      <c r="X7" s="402" t="s">
        <v>686</v>
      </c>
      <c r="Y7" s="391">
        <v>0</v>
      </c>
      <c r="Z7" s="391">
        <v>5</v>
      </c>
      <c r="AA7" s="391">
        <v>0</v>
      </c>
      <c r="AB7" s="391" t="s">
        <v>687</v>
      </c>
      <c r="AC7" s="67">
        <v>0</v>
      </c>
      <c r="AD7" s="67">
        <v>8</v>
      </c>
      <c r="AE7" s="68">
        <v>0</v>
      </c>
      <c r="AF7" s="67" t="s">
        <v>688</v>
      </c>
      <c r="AG7" s="391">
        <v>0</v>
      </c>
      <c r="AH7" s="391">
        <v>5</v>
      </c>
      <c r="AI7" s="391">
        <v>0</v>
      </c>
      <c r="AJ7" s="391" t="s">
        <v>687</v>
      </c>
      <c r="AK7" s="67">
        <v>0</v>
      </c>
      <c r="AL7" s="67">
        <v>8</v>
      </c>
      <c r="AM7" s="68">
        <v>0</v>
      </c>
      <c r="AN7" s="67" t="s">
        <v>688</v>
      </c>
      <c r="AO7" s="391">
        <v>0</v>
      </c>
      <c r="AP7" s="391">
        <v>5</v>
      </c>
      <c r="AQ7" s="391">
        <v>0</v>
      </c>
      <c r="AR7" s="391" t="s">
        <v>689</v>
      </c>
      <c r="AS7" s="67">
        <v>1</v>
      </c>
      <c r="AT7" s="67">
        <v>8</v>
      </c>
      <c r="AU7" s="68">
        <f>+AS7/AT7</f>
        <v>0.125</v>
      </c>
      <c r="AV7" s="67" t="s">
        <v>690</v>
      </c>
      <c r="AW7" s="279"/>
      <c r="AX7" s="279"/>
      <c r="AY7" s="279"/>
      <c r="AZ7" s="279"/>
      <c r="BA7" s="279"/>
      <c r="BB7" s="279"/>
      <c r="BC7" s="279"/>
      <c r="BD7" s="279"/>
      <c r="BE7" s="279"/>
      <c r="BF7" s="279"/>
      <c r="BG7" s="279"/>
      <c r="BH7" s="279"/>
      <c r="BI7" s="279"/>
      <c r="BJ7" s="279"/>
      <c r="BK7" s="279"/>
      <c r="BL7" s="279"/>
      <c r="BM7" s="279"/>
      <c r="BN7" s="279"/>
      <c r="BO7" s="279"/>
      <c r="BP7" s="279"/>
      <c r="BQ7" s="279"/>
      <c r="BR7" s="279"/>
      <c r="BS7" s="279"/>
      <c r="BT7" s="279"/>
      <c r="BU7" s="279"/>
    </row>
    <row r="8" spans="1:73" s="263" customFormat="1" ht="72" x14ac:dyDescent="0.25">
      <c r="A8" s="402"/>
      <c r="B8" s="428"/>
      <c r="C8" s="394"/>
      <c r="D8" s="397"/>
      <c r="E8" s="394"/>
      <c r="F8" s="397"/>
      <c r="G8" s="394"/>
      <c r="H8" s="397"/>
      <c r="I8" s="394"/>
      <c r="J8" s="397"/>
      <c r="K8" s="394"/>
      <c r="L8" s="391"/>
      <c r="M8" s="391"/>
      <c r="N8" s="391"/>
      <c r="O8" s="391"/>
      <c r="P8" s="391"/>
      <c r="Q8" s="73" t="s">
        <v>691</v>
      </c>
      <c r="R8" s="73" t="s">
        <v>692</v>
      </c>
      <c r="S8" s="80" t="s">
        <v>56</v>
      </c>
      <c r="T8" s="80"/>
      <c r="U8" s="80">
        <v>4</v>
      </c>
      <c r="V8" s="256">
        <v>3024477452</v>
      </c>
      <c r="W8" s="400"/>
      <c r="X8" s="402"/>
      <c r="Y8" s="391"/>
      <c r="Z8" s="391"/>
      <c r="AA8" s="391"/>
      <c r="AB8" s="391"/>
      <c r="AC8" s="80">
        <v>0</v>
      </c>
      <c r="AD8" s="80">
        <v>4</v>
      </c>
      <c r="AE8" s="81">
        <v>0</v>
      </c>
      <c r="AF8" s="80" t="s">
        <v>688</v>
      </c>
      <c r="AG8" s="391"/>
      <c r="AH8" s="391"/>
      <c r="AI8" s="391"/>
      <c r="AJ8" s="391"/>
      <c r="AK8" s="80">
        <v>0</v>
      </c>
      <c r="AL8" s="80">
        <v>4</v>
      </c>
      <c r="AM8" s="81">
        <v>0</v>
      </c>
      <c r="AN8" s="80" t="s">
        <v>688</v>
      </c>
      <c r="AO8" s="391"/>
      <c r="AP8" s="391"/>
      <c r="AQ8" s="391"/>
      <c r="AR8" s="391"/>
      <c r="AS8" s="80">
        <v>0</v>
      </c>
      <c r="AT8" s="80">
        <v>4</v>
      </c>
      <c r="AU8" s="81">
        <v>0</v>
      </c>
      <c r="AV8" s="80" t="s">
        <v>688</v>
      </c>
      <c r="AW8" s="279"/>
      <c r="AX8" s="279"/>
      <c r="AY8" s="279"/>
      <c r="AZ8" s="279"/>
      <c r="BA8" s="279"/>
      <c r="BB8" s="279"/>
      <c r="BC8" s="279"/>
      <c r="BD8" s="279"/>
      <c r="BE8" s="279"/>
      <c r="BF8" s="279"/>
      <c r="BG8" s="279"/>
      <c r="BH8" s="279"/>
      <c r="BI8" s="279"/>
      <c r="BJ8" s="279"/>
      <c r="BK8" s="279"/>
      <c r="BL8" s="279"/>
      <c r="BM8" s="279"/>
      <c r="BN8" s="279"/>
      <c r="BO8" s="279"/>
      <c r="BP8" s="279"/>
      <c r="BQ8" s="279"/>
      <c r="BR8" s="279"/>
      <c r="BS8" s="279"/>
      <c r="BT8" s="279"/>
      <c r="BU8" s="279"/>
    </row>
    <row r="9" spans="1:73" s="263" customFormat="1" ht="156" x14ac:dyDescent="0.25">
      <c r="A9" s="402"/>
      <c r="B9" s="428"/>
      <c r="C9" s="394"/>
      <c r="D9" s="397"/>
      <c r="E9" s="394"/>
      <c r="F9" s="398"/>
      <c r="G9" s="394"/>
      <c r="H9" s="397"/>
      <c r="I9" s="394"/>
      <c r="J9" s="397"/>
      <c r="K9" s="394"/>
      <c r="L9" s="73" t="s">
        <v>693</v>
      </c>
      <c r="M9" s="73" t="s">
        <v>694</v>
      </c>
      <c r="N9" s="73" t="s">
        <v>56</v>
      </c>
      <c r="O9" s="73"/>
      <c r="P9" s="73">
        <v>1000</v>
      </c>
      <c r="Q9" s="73" t="s">
        <v>695</v>
      </c>
      <c r="R9" s="73" t="s">
        <v>696</v>
      </c>
      <c r="S9" s="80" t="s">
        <v>56</v>
      </c>
      <c r="T9" s="73"/>
      <c r="U9" s="80">
        <v>5</v>
      </c>
      <c r="V9" s="254">
        <v>1081803196</v>
      </c>
      <c r="W9" s="400"/>
      <c r="X9" s="402"/>
      <c r="Y9" s="80">
        <v>0</v>
      </c>
      <c r="Z9" s="80">
        <v>1000</v>
      </c>
      <c r="AA9" s="80">
        <v>0</v>
      </c>
      <c r="AB9" s="73" t="s">
        <v>697</v>
      </c>
      <c r="AC9" s="80">
        <v>1</v>
      </c>
      <c r="AD9" s="80">
        <v>5</v>
      </c>
      <c r="AE9" s="81">
        <f>+AC9/AD9</f>
        <v>0.2</v>
      </c>
      <c r="AF9" s="80" t="s">
        <v>698</v>
      </c>
      <c r="AG9" s="80">
        <v>385</v>
      </c>
      <c r="AH9" s="80">
        <v>1000</v>
      </c>
      <c r="AI9" s="81">
        <f>+AG9/AH9</f>
        <v>0.38500000000000001</v>
      </c>
      <c r="AJ9" s="80" t="s">
        <v>699</v>
      </c>
      <c r="AK9" s="80">
        <v>2</v>
      </c>
      <c r="AL9" s="80">
        <v>5</v>
      </c>
      <c r="AM9" s="81">
        <f>+AK9/AL9</f>
        <v>0.4</v>
      </c>
      <c r="AN9" s="80" t="s">
        <v>698</v>
      </c>
      <c r="AO9" s="80">
        <v>385</v>
      </c>
      <c r="AP9" s="80">
        <v>1000</v>
      </c>
      <c r="AQ9" s="81">
        <f>+AO9/AP9</f>
        <v>0.38500000000000001</v>
      </c>
      <c r="AR9" s="80" t="s">
        <v>700</v>
      </c>
      <c r="AS9" s="80">
        <v>3</v>
      </c>
      <c r="AT9" s="80">
        <v>5</v>
      </c>
      <c r="AU9" s="81">
        <f>+AS9/AT9</f>
        <v>0.6</v>
      </c>
      <c r="AV9" s="80" t="s">
        <v>701</v>
      </c>
      <c r="AW9" s="279"/>
      <c r="AX9" s="279"/>
      <c r="AY9" s="279"/>
      <c r="AZ9" s="279"/>
      <c r="BA9" s="279"/>
      <c r="BB9" s="279"/>
      <c r="BC9" s="279"/>
      <c r="BD9" s="279"/>
      <c r="BE9" s="279"/>
      <c r="BF9" s="279"/>
      <c r="BG9" s="279"/>
      <c r="BH9" s="279"/>
      <c r="BI9" s="279"/>
      <c r="BJ9" s="279"/>
      <c r="BK9" s="279"/>
      <c r="BL9" s="279"/>
      <c r="BM9" s="279"/>
      <c r="BN9" s="279"/>
      <c r="BO9" s="279"/>
      <c r="BP9" s="279"/>
      <c r="BQ9" s="279"/>
      <c r="BR9" s="279"/>
      <c r="BS9" s="279"/>
      <c r="BT9" s="279"/>
      <c r="BU9" s="279"/>
    </row>
    <row r="10" spans="1:73" s="263" customFormat="1" ht="72" x14ac:dyDescent="0.25">
      <c r="A10" s="402"/>
      <c r="B10" s="428"/>
      <c r="C10" s="394"/>
      <c r="D10" s="397"/>
      <c r="E10" s="394"/>
      <c r="F10" s="391" t="s">
        <v>326</v>
      </c>
      <c r="G10" s="394"/>
      <c r="H10" s="397"/>
      <c r="I10" s="394"/>
      <c r="J10" s="397"/>
      <c r="K10" s="394"/>
      <c r="L10" s="391" t="s">
        <v>702</v>
      </c>
      <c r="M10" s="391" t="s">
        <v>703</v>
      </c>
      <c r="N10" s="391" t="s">
        <v>56</v>
      </c>
      <c r="O10" s="391"/>
      <c r="P10" s="391">
        <v>5</v>
      </c>
      <c r="Q10" s="66" t="s">
        <v>704</v>
      </c>
      <c r="R10" s="66" t="s">
        <v>705</v>
      </c>
      <c r="S10" s="67" t="s">
        <v>56</v>
      </c>
      <c r="T10" s="67"/>
      <c r="U10" s="67">
        <v>7</v>
      </c>
      <c r="V10" s="256">
        <v>2415200000</v>
      </c>
      <c r="W10" s="400"/>
      <c r="X10" s="402"/>
      <c r="Y10" s="391">
        <v>1</v>
      </c>
      <c r="Z10" s="391">
        <v>5</v>
      </c>
      <c r="AA10" s="392">
        <f>+Y10/Z10</f>
        <v>0.2</v>
      </c>
      <c r="AB10" s="391" t="s">
        <v>706</v>
      </c>
      <c r="AC10" s="67">
        <v>0</v>
      </c>
      <c r="AD10" s="67">
        <v>7</v>
      </c>
      <c r="AE10" s="68">
        <v>0</v>
      </c>
      <c r="AF10" s="67" t="s">
        <v>688</v>
      </c>
      <c r="AG10" s="391">
        <v>2</v>
      </c>
      <c r="AH10" s="391">
        <v>5</v>
      </c>
      <c r="AI10" s="392">
        <f>+AG10/AH10</f>
        <v>0.4</v>
      </c>
      <c r="AJ10" s="391" t="s">
        <v>707</v>
      </c>
      <c r="AK10" s="67">
        <v>0</v>
      </c>
      <c r="AL10" s="67">
        <v>7</v>
      </c>
      <c r="AM10" s="68">
        <v>0</v>
      </c>
      <c r="AN10" s="67" t="s">
        <v>688</v>
      </c>
      <c r="AO10" s="391">
        <v>2</v>
      </c>
      <c r="AP10" s="391">
        <v>5</v>
      </c>
      <c r="AQ10" s="392">
        <f>+AO10/AP10</f>
        <v>0.4</v>
      </c>
      <c r="AR10" s="391" t="s">
        <v>707</v>
      </c>
      <c r="AS10" s="67">
        <v>0</v>
      </c>
      <c r="AT10" s="67">
        <v>7</v>
      </c>
      <c r="AU10" s="68">
        <v>0</v>
      </c>
      <c r="AV10" s="67" t="s">
        <v>688</v>
      </c>
      <c r="AW10" s="279"/>
      <c r="AX10" s="279"/>
      <c r="AY10" s="279"/>
      <c r="AZ10" s="279"/>
      <c r="BA10" s="279"/>
      <c r="BB10" s="279"/>
      <c r="BC10" s="279"/>
      <c r="BD10" s="279"/>
      <c r="BE10" s="279"/>
      <c r="BF10" s="279"/>
      <c r="BG10" s="279"/>
      <c r="BH10" s="279"/>
      <c r="BI10" s="279"/>
      <c r="BJ10" s="279"/>
      <c r="BK10" s="279"/>
      <c r="BL10" s="279"/>
      <c r="BM10" s="279"/>
      <c r="BN10" s="279"/>
      <c r="BO10" s="279"/>
      <c r="BP10" s="279"/>
      <c r="BQ10" s="279"/>
      <c r="BR10" s="279"/>
      <c r="BS10" s="279"/>
      <c r="BT10" s="279"/>
      <c r="BU10" s="279"/>
    </row>
    <row r="11" spans="1:73" s="263" customFormat="1" ht="192" x14ac:dyDescent="0.25">
      <c r="A11" s="402"/>
      <c r="B11" s="428"/>
      <c r="C11" s="394"/>
      <c r="D11" s="397"/>
      <c r="E11" s="394"/>
      <c r="F11" s="391"/>
      <c r="G11" s="394"/>
      <c r="H11" s="397"/>
      <c r="I11" s="394"/>
      <c r="J11" s="397"/>
      <c r="K11" s="394"/>
      <c r="L11" s="391"/>
      <c r="M11" s="391"/>
      <c r="N11" s="391"/>
      <c r="O11" s="391"/>
      <c r="P11" s="391"/>
      <c r="Q11" s="73" t="s">
        <v>708</v>
      </c>
      <c r="R11" s="73" t="s">
        <v>709</v>
      </c>
      <c r="S11" s="73" t="s">
        <v>74</v>
      </c>
      <c r="T11" s="73"/>
      <c r="U11" s="80">
        <v>1</v>
      </c>
      <c r="V11" s="254">
        <v>2415200000</v>
      </c>
      <c r="W11" s="400"/>
      <c r="X11" s="402"/>
      <c r="Y11" s="391"/>
      <c r="Z11" s="391"/>
      <c r="AA11" s="392"/>
      <c r="AB11" s="391"/>
      <c r="AC11" s="81">
        <v>0.05</v>
      </c>
      <c r="AD11" s="80">
        <v>1</v>
      </c>
      <c r="AE11" s="81">
        <v>0.05</v>
      </c>
      <c r="AF11" s="80" t="s">
        <v>710</v>
      </c>
      <c r="AG11" s="391"/>
      <c r="AH11" s="391">
        <v>5</v>
      </c>
      <c r="AI11" s="392"/>
      <c r="AJ11" s="391"/>
      <c r="AK11" s="81">
        <v>0.05</v>
      </c>
      <c r="AL11" s="80">
        <v>1</v>
      </c>
      <c r="AM11" s="81">
        <v>0.05</v>
      </c>
      <c r="AN11" s="80" t="s">
        <v>710</v>
      </c>
      <c r="AO11" s="391"/>
      <c r="AP11" s="391">
        <v>5</v>
      </c>
      <c r="AQ11" s="392"/>
      <c r="AR11" s="391"/>
      <c r="AS11" s="81">
        <v>0.25</v>
      </c>
      <c r="AT11" s="80">
        <v>1</v>
      </c>
      <c r="AU11" s="81">
        <v>0.3</v>
      </c>
      <c r="AV11" s="80" t="s">
        <v>711</v>
      </c>
      <c r="AW11" s="279"/>
      <c r="AX11" s="279"/>
      <c r="AY11" s="279"/>
      <c r="AZ11" s="279"/>
      <c r="BA11" s="279"/>
      <c r="BB11" s="279"/>
      <c r="BC11" s="279"/>
      <c r="BD11" s="279"/>
      <c r="BE11" s="279"/>
      <c r="BF11" s="279"/>
      <c r="BG11" s="279"/>
      <c r="BH11" s="279"/>
      <c r="BI11" s="279"/>
      <c r="BJ11" s="279"/>
      <c r="BK11" s="279"/>
      <c r="BL11" s="279"/>
      <c r="BM11" s="279"/>
      <c r="BN11" s="279"/>
      <c r="BO11" s="279"/>
      <c r="BP11" s="279"/>
      <c r="BQ11" s="279"/>
      <c r="BR11" s="279"/>
      <c r="BS11" s="279"/>
      <c r="BT11" s="279"/>
      <c r="BU11" s="279"/>
    </row>
    <row r="12" spans="1:73" s="263" customFormat="1" ht="144" x14ac:dyDescent="0.25">
      <c r="A12" s="402"/>
      <c r="B12" s="428"/>
      <c r="C12" s="394"/>
      <c r="D12" s="397"/>
      <c r="E12" s="394"/>
      <c r="F12" s="391"/>
      <c r="G12" s="394"/>
      <c r="H12" s="397"/>
      <c r="I12" s="394"/>
      <c r="J12" s="397"/>
      <c r="K12" s="394"/>
      <c r="L12" s="391"/>
      <c r="M12" s="391"/>
      <c r="N12" s="391"/>
      <c r="O12" s="391"/>
      <c r="P12" s="391"/>
      <c r="Q12" s="66" t="s">
        <v>712</v>
      </c>
      <c r="R12" s="66" t="s">
        <v>713</v>
      </c>
      <c r="S12" s="67" t="s">
        <v>74</v>
      </c>
      <c r="T12" s="67"/>
      <c r="U12" s="67">
        <v>1</v>
      </c>
      <c r="V12" s="256">
        <v>2415200000</v>
      </c>
      <c r="W12" s="400"/>
      <c r="X12" s="402"/>
      <c r="Y12" s="391"/>
      <c r="Z12" s="391"/>
      <c r="AA12" s="392"/>
      <c r="AB12" s="391"/>
      <c r="AC12" s="68">
        <v>0.05</v>
      </c>
      <c r="AD12" s="67">
        <v>1</v>
      </c>
      <c r="AE12" s="68">
        <v>0.05</v>
      </c>
      <c r="AF12" s="67" t="s">
        <v>714</v>
      </c>
      <c r="AG12" s="391"/>
      <c r="AH12" s="391"/>
      <c r="AI12" s="392"/>
      <c r="AJ12" s="391"/>
      <c r="AK12" s="68">
        <v>0.05</v>
      </c>
      <c r="AL12" s="67">
        <v>1</v>
      </c>
      <c r="AM12" s="68">
        <v>0.05</v>
      </c>
      <c r="AN12" s="67" t="s">
        <v>714</v>
      </c>
      <c r="AO12" s="391"/>
      <c r="AP12" s="391"/>
      <c r="AQ12" s="392"/>
      <c r="AR12" s="391"/>
      <c r="AS12" s="68">
        <v>0.15</v>
      </c>
      <c r="AT12" s="67">
        <v>1</v>
      </c>
      <c r="AU12" s="68">
        <v>0.2</v>
      </c>
      <c r="AV12" s="67" t="s">
        <v>715</v>
      </c>
      <c r="AW12" s="279"/>
      <c r="AX12" s="279"/>
      <c r="AY12" s="279"/>
      <c r="AZ12" s="279"/>
      <c r="BA12" s="279"/>
      <c r="BB12" s="279"/>
      <c r="BC12" s="279"/>
      <c r="BD12" s="279"/>
      <c r="BE12" s="279"/>
      <c r="BF12" s="279"/>
      <c r="BG12" s="279"/>
      <c r="BH12" s="279"/>
      <c r="BI12" s="279"/>
      <c r="BJ12" s="279"/>
      <c r="BK12" s="279"/>
      <c r="BL12" s="279"/>
      <c r="BM12" s="279"/>
      <c r="BN12" s="279"/>
      <c r="BO12" s="279"/>
      <c r="BP12" s="279"/>
      <c r="BQ12" s="279"/>
      <c r="BR12" s="279"/>
      <c r="BS12" s="279"/>
      <c r="BT12" s="279"/>
      <c r="BU12" s="279"/>
    </row>
    <row r="13" spans="1:73" s="263" customFormat="1" ht="76.5" customHeight="1" x14ac:dyDescent="0.25">
      <c r="A13" s="402"/>
      <c r="B13" s="428"/>
      <c r="C13" s="394"/>
      <c r="D13" s="397"/>
      <c r="E13" s="394"/>
      <c r="F13" s="396" t="s">
        <v>678</v>
      </c>
      <c r="G13" s="394"/>
      <c r="H13" s="397"/>
      <c r="I13" s="394"/>
      <c r="J13" s="397"/>
      <c r="K13" s="394"/>
      <c r="L13" s="390" t="s">
        <v>716</v>
      </c>
      <c r="M13" s="390" t="s">
        <v>713</v>
      </c>
      <c r="N13" s="390" t="s">
        <v>74</v>
      </c>
      <c r="O13" s="390"/>
      <c r="P13" s="390">
        <v>100</v>
      </c>
      <c r="Q13" s="73" t="s">
        <v>717</v>
      </c>
      <c r="R13" s="73" t="s">
        <v>709</v>
      </c>
      <c r="S13" s="80" t="s">
        <v>56</v>
      </c>
      <c r="T13" s="73"/>
      <c r="U13" s="80">
        <v>3</v>
      </c>
      <c r="V13" s="254">
        <v>1281019352</v>
      </c>
      <c r="W13" s="400"/>
      <c r="X13" s="402"/>
      <c r="Y13" s="389">
        <v>0.05</v>
      </c>
      <c r="Z13" s="389">
        <v>1</v>
      </c>
      <c r="AA13" s="389">
        <v>0.05</v>
      </c>
      <c r="AB13" s="390" t="s">
        <v>718</v>
      </c>
      <c r="AC13" s="80">
        <v>1</v>
      </c>
      <c r="AD13" s="80">
        <v>3</v>
      </c>
      <c r="AE13" s="81">
        <f>+AC13/AD13</f>
        <v>0.33333333333333331</v>
      </c>
      <c r="AF13" s="80" t="s">
        <v>719</v>
      </c>
      <c r="AG13" s="389">
        <v>0.05</v>
      </c>
      <c r="AH13" s="389">
        <v>1</v>
      </c>
      <c r="AI13" s="389">
        <v>0.05</v>
      </c>
      <c r="AJ13" s="390" t="s">
        <v>718</v>
      </c>
      <c r="AK13" s="80">
        <v>1</v>
      </c>
      <c r="AL13" s="80">
        <v>3</v>
      </c>
      <c r="AM13" s="81">
        <f>+AK13/AL13</f>
        <v>0.33333333333333331</v>
      </c>
      <c r="AN13" s="80" t="s">
        <v>719</v>
      </c>
      <c r="AO13" s="389">
        <v>0.25</v>
      </c>
      <c r="AP13" s="389">
        <v>1</v>
      </c>
      <c r="AQ13" s="389">
        <f>+AO13/AP13</f>
        <v>0.25</v>
      </c>
      <c r="AR13" s="390" t="s">
        <v>720</v>
      </c>
      <c r="AS13" s="80">
        <v>1</v>
      </c>
      <c r="AT13" s="80">
        <v>3</v>
      </c>
      <c r="AU13" s="81">
        <v>0.33</v>
      </c>
      <c r="AV13" s="80" t="s">
        <v>719</v>
      </c>
      <c r="AW13" s="279"/>
      <c r="AX13" s="279"/>
      <c r="AY13" s="279"/>
      <c r="AZ13" s="279"/>
      <c r="BA13" s="279"/>
      <c r="BB13" s="279"/>
      <c r="BC13" s="279"/>
      <c r="BD13" s="279"/>
      <c r="BE13" s="279"/>
      <c r="BF13" s="279"/>
      <c r="BG13" s="279"/>
      <c r="BH13" s="279"/>
      <c r="BI13" s="279"/>
      <c r="BJ13" s="279"/>
      <c r="BK13" s="279"/>
      <c r="BL13" s="279"/>
      <c r="BM13" s="279"/>
      <c r="BN13" s="279"/>
      <c r="BO13" s="279"/>
      <c r="BP13" s="279"/>
      <c r="BQ13" s="279"/>
      <c r="BR13" s="279"/>
      <c r="BS13" s="279"/>
      <c r="BT13" s="279"/>
      <c r="BU13" s="279"/>
    </row>
    <row r="14" spans="1:73" s="263" customFormat="1" ht="48" x14ac:dyDescent="0.25">
      <c r="A14" s="402"/>
      <c r="B14" s="428"/>
      <c r="C14" s="395"/>
      <c r="D14" s="398"/>
      <c r="E14" s="395"/>
      <c r="F14" s="398"/>
      <c r="G14" s="395"/>
      <c r="H14" s="398"/>
      <c r="I14" s="395"/>
      <c r="J14" s="398"/>
      <c r="K14" s="395"/>
      <c r="L14" s="390"/>
      <c r="M14" s="390"/>
      <c r="N14" s="390"/>
      <c r="O14" s="390"/>
      <c r="P14" s="390"/>
      <c r="Q14" s="66" t="s">
        <v>721</v>
      </c>
      <c r="R14" s="66" t="s">
        <v>722</v>
      </c>
      <c r="S14" s="67" t="s">
        <v>56</v>
      </c>
      <c r="T14" s="67"/>
      <c r="U14" s="67">
        <v>3</v>
      </c>
      <c r="V14" s="287">
        <v>1281019352</v>
      </c>
      <c r="W14" s="401"/>
      <c r="X14" s="402"/>
      <c r="Y14" s="389"/>
      <c r="Z14" s="389"/>
      <c r="AA14" s="389"/>
      <c r="AB14" s="390"/>
      <c r="AC14" s="67">
        <v>0</v>
      </c>
      <c r="AD14" s="67">
        <v>1</v>
      </c>
      <c r="AE14" s="68">
        <v>0</v>
      </c>
      <c r="AF14" s="67" t="s">
        <v>723</v>
      </c>
      <c r="AG14" s="389"/>
      <c r="AH14" s="389"/>
      <c r="AI14" s="389"/>
      <c r="AJ14" s="390"/>
      <c r="AK14" s="67">
        <v>0</v>
      </c>
      <c r="AL14" s="67">
        <v>1</v>
      </c>
      <c r="AM14" s="68">
        <v>0</v>
      </c>
      <c r="AN14" s="67" t="s">
        <v>723</v>
      </c>
      <c r="AO14" s="389"/>
      <c r="AP14" s="389"/>
      <c r="AQ14" s="389"/>
      <c r="AR14" s="390"/>
      <c r="AS14" s="67">
        <v>0</v>
      </c>
      <c r="AT14" s="67">
        <v>1</v>
      </c>
      <c r="AU14" s="68">
        <v>0</v>
      </c>
      <c r="AV14" s="67" t="s">
        <v>723</v>
      </c>
      <c r="AW14" s="279"/>
      <c r="AX14" s="279"/>
      <c r="AY14" s="279"/>
      <c r="AZ14" s="279"/>
      <c r="BA14" s="279"/>
      <c r="BB14" s="279"/>
      <c r="BC14" s="279"/>
      <c r="BD14" s="279"/>
      <c r="BE14" s="279"/>
      <c r="BF14" s="279"/>
      <c r="BG14" s="279"/>
      <c r="BH14" s="279"/>
      <c r="BI14" s="279"/>
      <c r="BJ14" s="279"/>
      <c r="BK14" s="279"/>
      <c r="BL14" s="279"/>
      <c r="BM14" s="279"/>
      <c r="BN14" s="279"/>
      <c r="BO14" s="279"/>
      <c r="BP14" s="279"/>
      <c r="BQ14" s="279"/>
      <c r="BR14" s="279"/>
      <c r="BS14" s="279"/>
      <c r="BT14" s="279"/>
      <c r="BU14" s="279"/>
    </row>
    <row r="15" spans="1:73" s="284" customFormat="1" ht="49.5" customHeight="1" x14ac:dyDescent="0.25">
      <c r="A15" s="281"/>
      <c r="B15" s="281"/>
      <c r="C15" s="281"/>
      <c r="D15" s="281"/>
      <c r="E15" s="281"/>
      <c r="F15" s="281"/>
      <c r="G15" s="281"/>
      <c r="H15" s="281"/>
      <c r="I15" s="281"/>
      <c r="J15" s="281"/>
      <c r="K15" s="281"/>
      <c r="L15" s="281"/>
      <c r="M15" s="281"/>
      <c r="N15" s="281"/>
      <c r="O15" s="281"/>
      <c r="P15" s="281"/>
      <c r="Q15" s="281"/>
      <c r="R15" s="281"/>
      <c r="S15" s="281"/>
      <c r="T15" s="281"/>
      <c r="U15" s="281"/>
      <c r="V15" s="282"/>
      <c r="W15" s="282"/>
      <c r="X15" s="281"/>
      <c r="Y15" s="388" t="s">
        <v>99</v>
      </c>
      <c r="Z15" s="388"/>
      <c r="AA15" s="58">
        <f>+AVERAGE(AA10:AA13)</f>
        <v>0.125</v>
      </c>
      <c r="AB15" s="59"/>
      <c r="AC15" s="388" t="s">
        <v>866</v>
      </c>
      <c r="AD15" s="388"/>
      <c r="AE15" s="58">
        <f>+AVERAGE(AE11:AE13,AE9)</f>
        <v>0.15833333333333333</v>
      </c>
      <c r="AF15" s="281"/>
      <c r="AG15" s="388" t="s">
        <v>865</v>
      </c>
      <c r="AH15" s="388"/>
      <c r="AI15" s="58">
        <f>+AVERAGE(AI9:AI13)</f>
        <v>0.27833333333333338</v>
      </c>
      <c r="AJ15" s="59"/>
      <c r="AK15" s="388" t="s">
        <v>866</v>
      </c>
      <c r="AL15" s="388"/>
      <c r="AM15" s="58">
        <f>+AVERAGE(AM11:AM13,AM9)</f>
        <v>0.20833333333333334</v>
      </c>
      <c r="AN15" s="281"/>
      <c r="AO15" s="388" t="s">
        <v>865</v>
      </c>
      <c r="AP15" s="388"/>
      <c r="AQ15" s="58">
        <f>+AVERAGE(AQ9:AQ13)</f>
        <v>0.34500000000000003</v>
      </c>
      <c r="AR15" s="59"/>
      <c r="AS15" s="388" t="s">
        <v>866</v>
      </c>
      <c r="AT15" s="388"/>
      <c r="AU15" s="58">
        <f>+AVERAGE(AU11:AU13,AU9,AU7)</f>
        <v>0.31100000000000005</v>
      </c>
      <c r="AV15" s="281"/>
      <c r="AW15" s="281"/>
      <c r="AX15" s="281"/>
      <c r="AY15" s="281"/>
      <c r="AZ15" s="281"/>
      <c r="BA15" s="281"/>
      <c r="BB15" s="281"/>
      <c r="BC15" s="281"/>
      <c r="BD15" s="281"/>
      <c r="BE15" s="281"/>
      <c r="BF15" s="281"/>
      <c r="BG15" s="281"/>
      <c r="BH15" s="281"/>
      <c r="BI15" s="281"/>
      <c r="BJ15" s="281"/>
      <c r="BK15" s="281"/>
      <c r="BL15" s="281"/>
      <c r="BM15" s="281"/>
      <c r="BN15" s="281"/>
      <c r="BO15" s="281"/>
      <c r="BP15" s="281"/>
      <c r="BQ15" s="281"/>
      <c r="BR15" s="281"/>
      <c r="BS15" s="281"/>
      <c r="BT15" s="281"/>
      <c r="BU15" s="281"/>
    </row>
    <row r="16" spans="1:73" s="285" customFormat="1" x14ac:dyDescent="0.25">
      <c r="V16" s="286"/>
      <c r="W16" s="286"/>
    </row>
    <row r="17" spans="22:23" s="285" customFormat="1" x14ac:dyDescent="0.25">
      <c r="V17" s="286"/>
      <c r="W17" s="286"/>
    </row>
    <row r="18" spans="22:23" s="285" customFormat="1" x14ac:dyDescent="0.25">
      <c r="V18" s="286"/>
      <c r="W18" s="286"/>
    </row>
    <row r="19" spans="22:23" s="285" customFormat="1" x14ac:dyDescent="0.25">
      <c r="V19" s="286"/>
      <c r="W19" s="286"/>
    </row>
    <row r="20" spans="22:23" s="285" customFormat="1" x14ac:dyDescent="0.25">
      <c r="V20" s="286"/>
      <c r="W20" s="286"/>
    </row>
    <row r="21" spans="22:23" s="285" customFormat="1" x14ac:dyDescent="0.25">
      <c r="V21" s="286"/>
      <c r="W21" s="286"/>
    </row>
    <row r="22" spans="22:23" s="285" customFormat="1" x14ac:dyDescent="0.25">
      <c r="V22" s="286"/>
      <c r="W22" s="286"/>
    </row>
    <row r="23" spans="22:23" s="285" customFormat="1" x14ac:dyDescent="0.25">
      <c r="V23" s="286"/>
      <c r="W23" s="286"/>
    </row>
    <row r="24" spans="22:23" s="285" customFormat="1" x14ac:dyDescent="0.25">
      <c r="V24" s="286"/>
      <c r="W24" s="286"/>
    </row>
    <row r="25" spans="22:23" s="285" customFormat="1" x14ac:dyDescent="0.25">
      <c r="V25" s="286"/>
      <c r="W25" s="286"/>
    </row>
    <row r="26" spans="22:23" s="285" customFormat="1" x14ac:dyDescent="0.25">
      <c r="V26" s="286"/>
      <c r="W26" s="286"/>
    </row>
    <row r="27" spans="22:23" s="285" customFormat="1" x14ac:dyDescent="0.25">
      <c r="V27" s="286"/>
      <c r="W27" s="286"/>
    </row>
    <row r="28" spans="22:23" s="285" customFormat="1" x14ac:dyDescent="0.25">
      <c r="V28" s="286"/>
      <c r="W28" s="286"/>
    </row>
    <row r="29" spans="22:23" s="285" customFormat="1" x14ac:dyDescent="0.25">
      <c r="V29" s="286"/>
      <c r="W29" s="286"/>
    </row>
    <row r="30" spans="22:23" s="285" customFormat="1" x14ac:dyDescent="0.25">
      <c r="V30" s="286"/>
      <c r="W30" s="286"/>
    </row>
    <row r="31" spans="22:23" s="285" customFormat="1" x14ac:dyDescent="0.25">
      <c r="V31" s="286"/>
      <c r="W31" s="286"/>
    </row>
    <row r="32" spans="22:23" s="285" customFormat="1" x14ac:dyDescent="0.25">
      <c r="V32" s="286"/>
      <c r="W32" s="286"/>
    </row>
    <row r="33" spans="22:23" s="285" customFormat="1" x14ac:dyDescent="0.25">
      <c r="V33" s="286"/>
      <c r="W33" s="286"/>
    </row>
    <row r="34" spans="22:23" s="285" customFormat="1" x14ac:dyDescent="0.25">
      <c r="V34" s="286"/>
      <c r="W34" s="286"/>
    </row>
    <row r="35" spans="22:23" s="285" customFormat="1" x14ac:dyDescent="0.25">
      <c r="V35" s="286"/>
      <c r="W35" s="286"/>
    </row>
    <row r="36" spans="22:23" s="285" customFormat="1" x14ac:dyDescent="0.25">
      <c r="V36" s="286"/>
      <c r="W36" s="286"/>
    </row>
    <row r="37" spans="22:23" s="285" customFormat="1" x14ac:dyDescent="0.25">
      <c r="V37" s="286"/>
      <c r="W37" s="286"/>
    </row>
    <row r="38" spans="22:23" s="285" customFormat="1" x14ac:dyDescent="0.25">
      <c r="V38" s="286"/>
      <c r="W38" s="286"/>
    </row>
    <row r="39" spans="22:23" s="285" customFormat="1" x14ac:dyDescent="0.25">
      <c r="V39" s="286"/>
      <c r="W39" s="286"/>
    </row>
    <row r="40" spans="22:23" s="285" customFormat="1" x14ac:dyDescent="0.25">
      <c r="V40" s="286"/>
      <c r="W40" s="286"/>
    </row>
    <row r="41" spans="22:23" s="285" customFormat="1" x14ac:dyDescent="0.25">
      <c r="V41" s="286"/>
      <c r="W41" s="286"/>
    </row>
    <row r="42" spans="22:23" s="285" customFormat="1" x14ac:dyDescent="0.25">
      <c r="V42" s="286"/>
      <c r="W42" s="286"/>
    </row>
    <row r="43" spans="22:23" s="285" customFormat="1" x14ac:dyDescent="0.25">
      <c r="V43" s="286"/>
      <c r="W43" s="286"/>
    </row>
    <row r="44" spans="22:23" s="285" customFormat="1" x14ac:dyDescent="0.25">
      <c r="V44" s="286"/>
      <c r="W44" s="286"/>
    </row>
    <row r="45" spans="22:23" s="285" customFormat="1" x14ac:dyDescent="0.25">
      <c r="V45" s="286"/>
      <c r="W45" s="286"/>
    </row>
    <row r="46" spans="22:23" s="285" customFormat="1" x14ac:dyDescent="0.25">
      <c r="V46" s="286"/>
      <c r="W46" s="286"/>
    </row>
    <row r="47" spans="22:23" s="285" customFormat="1" x14ac:dyDescent="0.25">
      <c r="V47" s="286"/>
      <c r="W47" s="286"/>
    </row>
    <row r="48" spans="22:23" s="285" customFormat="1" x14ac:dyDescent="0.25">
      <c r="V48" s="286"/>
      <c r="W48" s="286"/>
    </row>
    <row r="49" spans="22:23" s="285" customFormat="1" x14ac:dyDescent="0.25">
      <c r="V49" s="286"/>
      <c r="W49" s="286"/>
    </row>
    <row r="50" spans="22:23" s="285" customFormat="1" x14ac:dyDescent="0.25">
      <c r="V50" s="286"/>
      <c r="W50" s="286"/>
    </row>
    <row r="51" spans="22:23" s="285" customFormat="1" x14ac:dyDescent="0.25">
      <c r="V51" s="286"/>
      <c r="W51" s="286"/>
    </row>
    <row r="52" spans="22:23" s="285" customFormat="1" x14ac:dyDescent="0.25">
      <c r="V52" s="286"/>
      <c r="W52" s="286"/>
    </row>
    <row r="53" spans="22:23" s="285" customFormat="1" x14ac:dyDescent="0.25">
      <c r="V53" s="286"/>
      <c r="W53" s="286"/>
    </row>
    <row r="54" spans="22:23" s="285" customFormat="1" x14ac:dyDescent="0.25">
      <c r="V54" s="286"/>
      <c r="W54" s="286"/>
    </row>
    <row r="55" spans="22:23" s="285" customFormat="1" x14ac:dyDescent="0.25">
      <c r="V55" s="286"/>
      <c r="W55" s="286"/>
    </row>
    <row r="56" spans="22:23" s="285" customFormat="1" x14ac:dyDescent="0.25">
      <c r="V56" s="286"/>
      <c r="W56" s="286"/>
    </row>
    <row r="57" spans="22:23" s="285" customFormat="1" x14ac:dyDescent="0.25">
      <c r="V57" s="286"/>
      <c r="W57" s="286"/>
    </row>
    <row r="58" spans="22:23" s="285" customFormat="1" x14ac:dyDescent="0.25">
      <c r="V58" s="286"/>
      <c r="W58" s="286"/>
    </row>
    <row r="59" spans="22:23" s="285" customFormat="1" x14ac:dyDescent="0.25">
      <c r="V59" s="286"/>
      <c r="W59" s="286"/>
    </row>
    <row r="60" spans="22:23" s="285" customFormat="1" x14ac:dyDescent="0.25">
      <c r="V60" s="286"/>
      <c r="W60" s="286"/>
    </row>
    <row r="61" spans="22:23" s="285" customFormat="1" x14ac:dyDescent="0.25">
      <c r="V61" s="286"/>
      <c r="W61" s="286"/>
    </row>
    <row r="62" spans="22:23" s="285" customFormat="1" x14ac:dyDescent="0.25">
      <c r="V62" s="286"/>
      <c r="W62" s="286"/>
    </row>
    <row r="63" spans="22:23" s="285" customFormat="1" x14ac:dyDescent="0.25">
      <c r="V63" s="286"/>
      <c r="W63" s="286"/>
    </row>
    <row r="64" spans="22:23" s="285" customFormat="1" x14ac:dyDescent="0.25">
      <c r="V64" s="286"/>
      <c r="W64" s="286"/>
    </row>
    <row r="65" spans="22:23" s="285" customFormat="1" x14ac:dyDescent="0.25">
      <c r="V65" s="286"/>
      <c r="W65" s="286"/>
    </row>
    <row r="66" spans="22:23" s="285" customFormat="1" x14ac:dyDescent="0.25">
      <c r="V66" s="286"/>
      <c r="W66" s="286"/>
    </row>
    <row r="67" spans="22:23" s="285" customFormat="1" x14ac:dyDescent="0.25">
      <c r="V67" s="286"/>
      <c r="W67" s="286"/>
    </row>
    <row r="68" spans="22:23" s="285" customFormat="1" x14ac:dyDescent="0.25">
      <c r="V68" s="286"/>
      <c r="W68" s="286"/>
    </row>
    <row r="69" spans="22:23" s="285" customFormat="1" x14ac:dyDescent="0.25">
      <c r="V69" s="286"/>
      <c r="W69" s="286"/>
    </row>
    <row r="70" spans="22:23" s="285" customFormat="1" x14ac:dyDescent="0.25">
      <c r="V70" s="286"/>
      <c r="W70" s="286"/>
    </row>
    <row r="71" spans="22:23" s="285" customFormat="1" x14ac:dyDescent="0.25">
      <c r="V71" s="286"/>
      <c r="W71" s="286"/>
    </row>
    <row r="72" spans="22:23" s="285" customFormat="1" x14ac:dyDescent="0.25">
      <c r="V72" s="286"/>
      <c r="W72" s="286"/>
    </row>
    <row r="73" spans="22:23" s="285" customFormat="1" x14ac:dyDescent="0.25">
      <c r="V73" s="286"/>
      <c r="W73" s="286"/>
    </row>
    <row r="74" spans="22:23" s="285" customFormat="1" x14ac:dyDescent="0.25">
      <c r="V74" s="286"/>
      <c r="W74" s="286"/>
    </row>
    <row r="75" spans="22:23" s="285" customFormat="1" x14ac:dyDescent="0.25">
      <c r="V75" s="286"/>
      <c r="W75" s="286"/>
    </row>
    <row r="76" spans="22:23" s="285" customFormat="1" x14ac:dyDescent="0.25">
      <c r="V76" s="286"/>
      <c r="W76" s="286"/>
    </row>
    <row r="77" spans="22:23" s="285" customFormat="1" x14ac:dyDescent="0.25">
      <c r="V77" s="286"/>
      <c r="W77" s="286"/>
    </row>
    <row r="78" spans="22:23" s="285" customFormat="1" x14ac:dyDescent="0.25">
      <c r="V78" s="286"/>
      <c r="W78" s="286"/>
    </row>
    <row r="79" spans="22:23" s="285" customFormat="1" x14ac:dyDescent="0.25">
      <c r="V79" s="286"/>
      <c r="W79" s="286"/>
    </row>
    <row r="80" spans="22:23" s="285" customFormat="1" x14ac:dyDescent="0.25">
      <c r="V80" s="286"/>
      <c r="W80" s="286"/>
    </row>
    <row r="81" spans="22:23" s="285" customFormat="1" x14ac:dyDescent="0.25">
      <c r="V81" s="286"/>
      <c r="W81" s="286"/>
    </row>
    <row r="82" spans="22:23" s="285" customFormat="1" x14ac:dyDescent="0.25">
      <c r="V82" s="286"/>
      <c r="W82" s="286"/>
    </row>
    <row r="83" spans="22:23" s="285" customFormat="1" x14ac:dyDescent="0.25">
      <c r="V83" s="286"/>
      <c r="W83" s="286"/>
    </row>
    <row r="84" spans="22:23" s="285" customFormat="1" x14ac:dyDescent="0.25">
      <c r="V84" s="286"/>
      <c r="W84" s="286"/>
    </row>
    <row r="85" spans="22:23" s="285" customFormat="1" x14ac:dyDescent="0.25">
      <c r="V85" s="286"/>
      <c r="W85" s="286"/>
    </row>
    <row r="86" spans="22:23" s="285" customFormat="1" x14ac:dyDescent="0.25">
      <c r="V86" s="286"/>
      <c r="W86" s="286"/>
    </row>
    <row r="87" spans="22:23" s="285" customFormat="1" x14ac:dyDescent="0.25">
      <c r="V87" s="286"/>
      <c r="W87" s="286"/>
    </row>
    <row r="88" spans="22:23" s="285" customFormat="1" x14ac:dyDescent="0.25">
      <c r="V88" s="286"/>
      <c r="W88" s="286"/>
    </row>
    <row r="89" spans="22:23" s="285" customFormat="1" x14ac:dyDescent="0.25">
      <c r="V89" s="286"/>
      <c r="W89" s="286"/>
    </row>
    <row r="90" spans="22:23" s="285" customFormat="1" x14ac:dyDescent="0.25">
      <c r="V90" s="286"/>
      <c r="W90" s="286"/>
    </row>
    <row r="91" spans="22:23" s="285" customFormat="1" x14ac:dyDescent="0.25">
      <c r="V91" s="286"/>
      <c r="W91" s="286"/>
    </row>
    <row r="92" spans="22:23" s="285" customFormat="1" x14ac:dyDescent="0.25">
      <c r="V92" s="286"/>
      <c r="W92" s="286"/>
    </row>
    <row r="93" spans="22:23" s="285" customFormat="1" x14ac:dyDescent="0.25">
      <c r="V93" s="286"/>
      <c r="W93" s="286"/>
    </row>
    <row r="94" spans="22:23" s="285" customFormat="1" x14ac:dyDescent="0.25">
      <c r="V94" s="286"/>
      <c r="W94" s="286"/>
    </row>
    <row r="95" spans="22:23" s="285" customFormat="1" x14ac:dyDescent="0.25">
      <c r="V95" s="286"/>
      <c r="W95" s="286"/>
    </row>
    <row r="96" spans="22:23" s="285" customFormat="1" x14ac:dyDescent="0.25">
      <c r="V96" s="286"/>
      <c r="W96" s="286"/>
    </row>
    <row r="97" spans="22:23" s="285" customFormat="1" x14ac:dyDescent="0.25">
      <c r="V97" s="286"/>
      <c r="W97" s="286"/>
    </row>
    <row r="98" spans="22:23" s="285" customFormat="1" x14ac:dyDescent="0.25">
      <c r="V98" s="286"/>
      <c r="W98" s="286"/>
    </row>
    <row r="99" spans="22:23" s="285" customFormat="1" x14ac:dyDescent="0.25">
      <c r="V99" s="286"/>
      <c r="W99" s="286"/>
    </row>
    <row r="100" spans="22:23" s="285" customFormat="1" x14ac:dyDescent="0.25">
      <c r="V100" s="286"/>
      <c r="W100" s="286"/>
    </row>
    <row r="101" spans="22:23" s="285" customFormat="1" x14ac:dyDescent="0.25">
      <c r="V101" s="286"/>
      <c r="W101" s="286"/>
    </row>
    <row r="102" spans="22:23" s="285" customFormat="1" x14ac:dyDescent="0.25">
      <c r="V102" s="286"/>
      <c r="W102" s="286"/>
    </row>
    <row r="103" spans="22:23" s="285" customFormat="1" x14ac:dyDescent="0.25">
      <c r="V103" s="286"/>
      <c r="W103" s="286"/>
    </row>
    <row r="104" spans="22:23" s="285" customFormat="1" x14ac:dyDescent="0.25">
      <c r="V104" s="286"/>
      <c r="W104" s="286"/>
    </row>
    <row r="105" spans="22:23" s="285" customFormat="1" x14ac:dyDescent="0.25">
      <c r="V105" s="286"/>
      <c r="W105" s="286"/>
    </row>
    <row r="106" spans="22:23" s="285" customFormat="1" x14ac:dyDescent="0.25">
      <c r="V106" s="286"/>
      <c r="W106" s="286"/>
    </row>
    <row r="107" spans="22:23" s="285" customFormat="1" x14ac:dyDescent="0.25">
      <c r="V107" s="286"/>
      <c r="W107" s="286"/>
    </row>
    <row r="108" spans="22:23" s="285" customFormat="1" x14ac:dyDescent="0.25">
      <c r="V108" s="286"/>
      <c r="W108" s="286"/>
    </row>
    <row r="109" spans="22:23" s="285" customFormat="1" x14ac:dyDescent="0.25">
      <c r="V109" s="286"/>
      <c r="W109" s="286"/>
    </row>
    <row r="110" spans="22:23" s="285" customFormat="1" x14ac:dyDescent="0.25">
      <c r="V110" s="286"/>
      <c r="W110" s="286"/>
    </row>
    <row r="111" spans="22:23" s="285" customFormat="1" x14ac:dyDescent="0.25">
      <c r="V111" s="286"/>
      <c r="W111" s="286"/>
    </row>
    <row r="112" spans="22:23" s="285" customFormat="1" x14ac:dyDescent="0.25">
      <c r="V112" s="286"/>
      <c r="W112" s="286"/>
    </row>
    <row r="113" spans="22:23" s="285" customFormat="1" x14ac:dyDescent="0.25">
      <c r="V113" s="286"/>
      <c r="W113" s="286"/>
    </row>
    <row r="114" spans="22:23" s="285" customFormat="1" x14ac:dyDescent="0.25">
      <c r="V114" s="286"/>
      <c r="W114" s="286"/>
    </row>
    <row r="115" spans="22:23" s="285" customFormat="1" x14ac:dyDescent="0.25">
      <c r="V115" s="286"/>
      <c r="W115" s="286"/>
    </row>
    <row r="116" spans="22:23" s="285" customFormat="1" x14ac:dyDescent="0.25">
      <c r="V116" s="286"/>
      <c r="W116" s="286"/>
    </row>
    <row r="117" spans="22:23" s="285" customFormat="1" x14ac:dyDescent="0.25">
      <c r="V117" s="286"/>
      <c r="W117" s="286"/>
    </row>
    <row r="118" spans="22:23" s="285" customFormat="1" x14ac:dyDescent="0.25">
      <c r="V118" s="286"/>
      <c r="W118" s="286"/>
    </row>
    <row r="119" spans="22:23" s="285" customFormat="1" x14ac:dyDescent="0.25">
      <c r="V119" s="286"/>
      <c r="W119" s="286"/>
    </row>
    <row r="120" spans="22:23" s="285" customFormat="1" x14ac:dyDescent="0.25">
      <c r="V120" s="286"/>
      <c r="W120" s="286"/>
    </row>
    <row r="121" spans="22:23" s="285" customFormat="1" x14ac:dyDescent="0.25">
      <c r="V121" s="286"/>
      <c r="W121" s="286"/>
    </row>
    <row r="122" spans="22:23" s="285" customFormat="1" x14ac:dyDescent="0.25">
      <c r="V122" s="286"/>
      <c r="W122" s="286"/>
    </row>
    <row r="123" spans="22:23" s="285" customFormat="1" x14ac:dyDescent="0.25">
      <c r="V123" s="286"/>
      <c r="W123" s="286"/>
    </row>
    <row r="124" spans="22:23" s="285" customFormat="1" x14ac:dyDescent="0.25">
      <c r="V124" s="286"/>
      <c r="W124" s="286"/>
    </row>
    <row r="125" spans="22:23" s="285" customFormat="1" x14ac:dyDescent="0.25">
      <c r="V125" s="286"/>
      <c r="W125" s="286"/>
    </row>
    <row r="126" spans="22:23" s="285" customFormat="1" x14ac:dyDescent="0.25">
      <c r="V126" s="286"/>
      <c r="W126" s="286"/>
    </row>
    <row r="127" spans="22:23" s="285" customFormat="1" x14ac:dyDescent="0.25">
      <c r="V127" s="286"/>
      <c r="W127" s="286"/>
    </row>
    <row r="128" spans="22:23" s="285" customFormat="1" x14ac:dyDescent="0.25">
      <c r="V128" s="286"/>
      <c r="W128" s="286"/>
    </row>
    <row r="129" spans="22:23" s="285" customFormat="1" x14ac:dyDescent="0.25">
      <c r="V129" s="286"/>
      <c r="W129" s="286"/>
    </row>
    <row r="130" spans="22:23" s="285" customFormat="1" x14ac:dyDescent="0.25">
      <c r="V130" s="286"/>
      <c r="W130" s="286"/>
    </row>
    <row r="131" spans="22:23" s="285" customFormat="1" x14ac:dyDescent="0.25">
      <c r="V131" s="286"/>
      <c r="W131" s="286"/>
    </row>
    <row r="132" spans="22:23" s="285" customFormat="1" x14ac:dyDescent="0.25">
      <c r="V132" s="286"/>
      <c r="W132" s="286"/>
    </row>
    <row r="133" spans="22:23" s="285" customFormat="1" x14ac:dyDescent="0.25">
      <c r="V133" s="286"/>
      <c r="W133" s="286"/>
    </row>
    <row r="134" spans="22:23" s="285" customFormat="1" x14ac:dyDescent="0.25">
      <c r="V134" s="286"/>
      <c r="W134" s="286"/>
    </row>
    <row r="135" spans="22:23" s="285" customFormat="1" x14ac:dyDescent="0.25">
      <c r="V135" s="286"/>
      <c r="W135" s="286"/>
    </row>
    <row r="136" spans="22:23" s="285" customFormat="1" x14ac:dyDescent="0.25">
      <c r="V136" s="286"/>
      <c r="W136" s="286"/>
    </row>
    <row r="137" spans="22:23" s="285" customFormat="1" x14ac:dyDescent="0.25">
      <c r="V137" s="286"/>
      <c r="W137" s="286"/>
    </row>
    <row r="138" spans="22:23" s="285" customFormat="1" x14ac:dyDescent="0.25">
      <c r="V138" s="286"/>
      <c r="W138" s="286"/>
    </row>
    <row r="139" spans="22:23" s="285" customFormat="1" x14ac:dyDescent="0.25">
      <c r="V139" s="286"/>
      <c r="W139" s="286"/>
    </row>
    <row r="140" spans="22:23" s="285" customFormat="1" x14ac:dyDescent="0.25">
      <c r="V140" s="286"/>
      <c r="W140" s="286"/>
    </row>
    <row r="141" spans="22:23" s="285" customFormat="1" x14ac:dyDescent="0.25">
      <c r="V141" s="286"/>
      <c r="W141" s="286"/>
    </row>
    <row r="142" spans="22:23" s="285" customFormat="1" x14ac:dyDescent="0.25">
      <c r="V142" s="286"/>
      <c r="W142" s="286"/>
    </row>
    <row r="143" spans="22:23" s="285" customFormat="1" x14ac:dyDescent="0.25">
      <c r="V143" s="286"/>
      <c r="W143" s="286"/>
    </row>
    <row r="144" spans="22:23" s="285" customFormat="1" x14ac:dyDescent="0.25">
      <c r="V144" s="286"/>
      <c r="W144" s="286"/>
    </row>
    <row r="145" spans="22:23" s="285" customFormat="1" x14ac:dyDescent="0.25">
      <c r="V145" s="286"/>
      <c r="W145" s="286"/>
    </row>
    <row r="146" spans="22:23" s="285" customFormat="1" x14ac:dyDescent="0.25">
      <c r="V146" s="286"/>
      <c r="W146" s="286"/>
    </row>
    <row r="147" spans="22:23" s="285" customFormat="1" x14ac:dyDescent="0.25">
      <c r="V147" s="286"/>
      <c r="W147" s="286"/>
    </row>
    <row r="148" spans="22:23" s="285" customFormat="1" x14ac:dyDescent="0.25">
      <c r="V148" s="286"/>
      <c r="W148" s="286"/>
    </row>
    <row r="149" spans="22:23" s="285" customFormat="1" x14ac:dyDescent="0.25">
      <c r="V149" s="286"/>
      <c r="W149" s="286"/>
    </row>
    <row r="150" spans="22:23" s="285" customFormat="1" x14ac:dyDescent="0.25">
      <c r="V150" s="286"/>
      <c r="W150" s="286"/>
    </row>
    <row r="151" spans="22:23" s="285" customFormat="1" x14ac:dyDescent="0.25">
      <c r="V151" s="286"/>
      <c r="W151" s="286"/>
    </row>
    <row r="152" spans="22:23" s="285" customFormat="1" x14ac:dyDescent="0.25">
      <c r="V152" s="286"/>
      <c r="W152" s="286"/>
    </row>
    <row r="153" spans="22:23" s="285" customFormat="1" x14ac:dyDescent="0.25">
      <c r="V153" s="286"/>
      <c r="W153" s="286"/>
    </row>
    <row r="154" spans="22:23" s="285" customFormat="1" x14ac:dyDescent="0.25">
      <c r="V154" s="286"/>
      <c r="W154" s="286"/>
    </row>
    <row r="155" spans="22:23" s="285" customFormat="1" x14ac:dyDescent="0.25">
      <c r="V155" s="286"/>
      <c r="W155" s="286"/>
    </row>
    <row r="156" spans="22:23" s="285" customFormat="1" x14ac:dyDescent="0.25">
      <c r="V156" s="286"/>
      <c r="W156" s="286"/>
    </row>
    <row r="157" spans="22:23" s="285" customFormat="1" x14ac:dyDescent="0.25">
      <c r="V157" s="286"/>
      <c r="W157" s="286"/>
    </row>
    <row r="158" spans="22:23" s="285" customFormat="1" x14ac:dyDescent="0.25">
      <c r="V158" s="286"/>
      <c r="W158" s="286"/>
    </row>
    <row r="159" spans="22:23" s="285" customFormat="1" x14ac:dyDescent="0.25">
      <c r="V159" s="286"/>
      <c r="W159" s="286"/>
    </row>
    <row r="160" spans="22:23" s="285" customFormat="1" x14ac:dyDescent="0.25">
      <c r="V160" s="286"/>
      <c r="W160" s="286"/>
    </row>
    <row r="161" spans="22:23" s="285" customFormat="1" x14ac:dyDescent="0.25">
      <c r="V161" s="286"/>
      <c r="W161" s="286"/>
    </row>
    <row r="162" spans="22:23" s="285" customFormat="1" x14ac:dyDescent="0.25">
      <c r="V162" s="286"/>
      <c r="W162" s="286"/>
    </row>
    <row r="163" spans="22:23" s="285" customFormat="1" x14ac:dyDescent="0.25">
      <c r="V163" s="286"/>
      <c r="W163" s="286"/>
    </row>
    <row r="164" spans="22:23" s="285" customFormat="1" x14ac:dyDescent="0.25">
      <c r="V164" s="286"/>
      <c r="W164" s="286"/>
    </row>
    <row r="165" spans="22:23" s="285" customFormat="1" x14ac:dyDescent="0.25">
      <c r="V165" s="286"/>
      <c r="W165" s="286"/>
    </row>
    <row r="166" spans="22:23" s="285" customFormat="1" x14ac:dyDescent="0.25">
      <c r="V166" s="286"/>
      <c r="W166" s="286"/>
    </row>
    <row r="167" spans="22:23" s="285" customFormat="1" x14ac:dyDescent="0.25">
      <c r="V167" s="286"/>
      <c r="W167" s="286"/>
    </row>
    <row r="168" spans="22:23" s="285" customFormat="1" x14ac:dyDescent="0.25">
      <c r="V168" s="286"/>
      <c r="W168" s="286"/>
    </row>
    <row r="169" spans="22:23" s="285" customFormat="1" x14ac:dyDescent="0.25">
      <c r="V169" s="286"/>
      <c r="W169" s="286"/>
    </row>
    <row r="170" spans="22:23" s="285" customFormat="1" x14ac:dyDescent="0.25">
      <c r="V170" s="286"/>
      <c r="W170" s="286"/>
    </row>
    <row r="171" spans="22:23" s="285" customFormat="1" x14ac:dyDescent="0.25">
      <c r="V171" s="286"/>
      <c r="W171" s="286"/>
    </row>
    <row r="172" spans="22:23" s="285" customFormat="1" x14ac:dyDescent="0.25">
      <c r="V172" s="286"/>
      <c r="W172" s="286"/>
    </row>
    <row r="173" spans="22:23" s="285" customFormat="1" x14ac:dyDescent="0.25">
      <c r="V173" s="286"/>
      <c r="W173" s="286"/>
    </row>
    <row r="174" spans="22:23" s="285" customFormat="1" x14ac:dyDescent="0.25">
      <c r="V174" s="286"/>
      <c r="W174" s="286"/>
    </row>
    <row r="175" spans="22:23" s="285" customFormat="1" x14ac:dyDescent="0.25">
      <c r="V175" s="286"/>
      <c r="W175" s="286"/>
    </row>
    <row r="176" spans="22:23" s="285" customFormat="1" x14ac:dyDescent="0.25">
      <c r="V176" s="286"/>
      <c r="W176" s="286"/>
    </row>
    <row r="177" spans="22:23" s="285" customFormat="1" x14ac:dyDescent="0.25">
      <c r="V177" s="286"/>
      <c r="W177" s="286"/>
    </row>
    <row r="178" spans="22:23" s="285" customFormat="1" x14ac:dyDescent="0.25">
      <c r="V178" s="286"/>
      <c r="W178" s="286"/>
    </row>
    <row r="179" spans="22:23" s="285" customFormat="1" x14ac:dyDescent="0.25">
      <c r="V179" s="286"/>
      <c r="W179" s="286"/>
    </row>
    <row r="180" spans="22:23" s="285" customFormat="1" x14ac:dyDescent="0.25">
      <c r="V180" s="286"/>
      <c r="W180" s="286"/>
    </row>
    <row r="181" spans="22:23" s="285" customFormat="1" x14ac:dyDescent="0.25">
      <c r="V181" s="286"/>
      <c r="W181" s="286"/>
    </row>
    <row r="182" spans="22:23" s="285" customFormat="1" x14ac:dyDescent="0.25">
      <c r="V182" s="286"/>
      <c r="W182" s="286"/>
    </row>
    <row r="183" spans="22:23" s="285" customFormat="1" x14ac:dyDescent="0.25">
      <c r="V183" s="286"/>
      <c r="W183" s="286"/>
    </row>
    <row r="184" spans="22:23" s="285" customFormat="1" x14ac:dyDescent="0.25">
      <c r="V184" s="286"/>
      <c r="W184" s="286"/>
    </row>
    <row r="185" spans="22:23" s="285" customFormat="1" x14ac:dyDescent="0.25">
      <c r="V185" s="286"/>
      <c r="W185" s="286"/>
    </row>
    <row r="186" spans="22:23" s="285" customFormat="1" x14ac:dyDescent="0.25">
      <c r="V186" s="286"/>
      <c r="W186" s="286"/>
    </row>
    <row r="187" spans="22:23" s="285" customFormat="1" x14ac:dyDescent="0.25">
      <c r="V187" s="286"/>
      <c r="W187" s="286"/>
    </row>
    <row r="188" spans="22:23" s="285" customFormat="1" x14ac:dyDescent="0.25">
      <c r="V188" s="286"/>
      <c r="W188" s="286"/>
    </row>
    <row r="189" spans="22:23" s="285" customFormat="1" x14ac:dyDescent="0.25">
      <c r="V189" s="286"/>
      <c r="W189" s="286"/>
    </row>
    <row r="190" spans="22:23" s="285" customFormat="1" x14ac:dyDescent="0.25">
      <c r="V190" s="286"/>
      <c r="W190" s="286"/>
    </row>
    <row r="191" spans="22:23" s="285" customFormat="1" x14ac:dyDescent="0.25">
      <c r="V191" s="286"/>
      <c r="W191" s="286"/>
    </row>
    <row r="192" spans="22:23" s="285" customFormat="1" x14ac:dyDescent="0.25">
      <c r="V192" s="286"/>
      <c r="W192" s="286"/>
    </row>
    <row r="193" spans="22:23" s="285" customFormat="1" x14ac:dyDescent="0.25">
      <c r="V193" s="286"/>
      <c r="W193" s="286"/>
    </row>
    <row r="194" spans="22:23" s="285" customFormat="1" x14ac:dyDescent="0.25">
      <c r="V194" s="286"/>
      <c r="W194" s="286"/>
    </row>
    <row r="195" spans="22:23" s="285" customFormat="1" x14ac:dyDescent="0.25">
      <c r="V195" s="286"/>
      <c r="W195" s="286"/>
    </row>
    <row r="196" spans="22:23" s="285" customFormat="1" x14ac:dyDescent="0.25">
      <c r="V196" s="286"/>
      <c r="W196" s="286"/>
    </row>
    <row r="197" spans="22:23" s="285" customFormat="1" x14ac:dyDescent="0.25">
      <c r="V197" s="286"/>
      <c r="W197" s="286"/>
    </row>
    <row r="198" spans="22:23" s="285" customFormat="1" x14ac:dyDescent="0.25">
      <c r="V198" s="286"/>
      <c r="W198" s="286"/>
    </row>
    <row r="199" spans="22:23" s="285" customFormat="1" x14ac:dyDescent="0.25">
      <c r="V199" s="286"/>
      <c r="W199" s="286"/>
    </row>
    <row r="200" spans="22:23" s="285" customFormat="1" x14ac:dyDescent="0.25">
      <c r="V200" s="286"/>
      <c r="W200" s="286"/>
    </row>
    <row r="201" spans="22:23" s="285" customFormat="1" x14ac:dyDescent="0.25">
      <c r="V201" s="286"/>
      <c r="W201" s="286"/>
    </row>
    <row r="202" spans="22:23" s="285" customFormat="1" x14ac:dyDescent="0.25">
      <c r="V202" s="286"/>
      <c r="W202" s="286"/>
    </row>
    <row r="203" spans="22:23" s="285" customFormat="1" x14ac:dyDescent="0.25">
      <c r="V203" s="286"/>
      <c r="W203" s="286"/>
    </row>
    <row r="204" spans="22:23" s="285" customFormat="1" x14ac:dyDescent="0.25">
      <c r="V204" s="286"/>
      <c r="W204" s="286"/>
    </row>
    <row r="205" spans="22:23" s="285" customFormat="1" x14ac:dyDescent="0.25">
      <c r="V205" s="286"/>
      <c r="W205" s="286"/>
    </row>
    <row r="206" spans="22:23" s="285" customFormat="1" x14ac:dyDescent="0.25">
      <c r="V206" s="286"/>
      <c r="W206" s="286"/>
    </row>
    <row r="207" spans="22:23" s="285" customFormat="1" x14ac:dyDescent="0.25">
      <c r="V207" s="286"/>
      <c r="W207" s="286"/>
    </row>
    <row r="208" spans="22:23" s="285" customFormat="1" x14ac:dyDescent="0.25">
      <c r="V208" s="286"/>
      <c r="W208" s="286"/>
    </row>
    <row r="209" spans="22:23" s="285" customFormat="1" x14ac:dyDescent="0.25">
      <c r="V209" s="286"/>
      <c r="W209" s="286"/>
    </row>
    <row r="210" spans="22:23" s="285" customFormat="1" x14ac:dyDescent="0.25">
      <c r="V210" s="286"/>
      <c r="W210" s="286"/>
    </row>
    <row r="211" spans="22:23" s="285" customFormat="1" x14ac:dyDescent="0.25">
      <c r="V211" s="286"/>
      <c r="W211" s="286"/>
    </row>
    <row r="212" spans="22:23" s="285" customFormat="1" x14ac:dyDescent="0.25">
      <c r="V212" s="286"/>
      <c r="W212" s="286"/>
    </row>
    <row r="213" spans="22:23" s="285" customFormat="1" x14ac:dyDescent="0.25">
      <c r="V213" s="286"/>
      <c r="W213" s="286"/>
    </row>
    <row r="214" spans="22:23" s="285" customFormat="1" x14ac:dyDescent="0.25">
      <c r="V214" s="286"/>
      <c r="W214" s="286"/>
    </row>
    <row r="215" spans="22:23" s="285" customFormat="1" x14ac:dyDescent="0.25">
      <c r="V215" s="286"/>
      <c r="W215" s="286"/>
    </row>
    <row r="216" spans="22:23" s="285" customFormat="1" x14ac:dyDescent="0.25">
      <c r="V216" s="286"/>
      <c r="W216" s="286"/>
    </row>
    <row r="217" spans="22:23" s="285" customFormat="1" x14ac:dyDescent="0.25">
      <c r="V217" s="286"/>
      <c r="W217" s="286"/>
    </row>
    <row r="218" spans="22:23" s="285" customFormat="1" x14ac:dyDescent="0.25">
      <c r="V218" s="286"/>
      <c r="W218" s="286"/>
    </row>
    <row r="219" spans="22:23" s="285" customFormat="1" x14ac:dyDescent="0.25">
      <c r="V219" s="286"/>
      <c r="W219" s="286"/>
    </row>
    <row r="220" spans="22:23" s="285" customFormat="1" x14ac:dyDescent="0.25">
      <c r="V220" s="286"/>
      <c r="W220" s="286"/>
    </row>
    <row r="221" spans="22:23" s="285" customFormat="1" x14ac:dyDescent="0.25">
      <c r="V221" s="286"/>
      <c r="W221" s="286"/>
    </row>
    <row r="222" spans="22:23" s="285" customFormat="1" x14ac:dyDescent="0.25">
      <c r="V222" s="286"/>
      <c r="W222" s="286"/>
    </row>
    <row r="223" spans="22:23" s="285" customFormat="1" x14ac:dyDescent="0.25">
      <c r="V223" s="286"/>
      <c r="W223" s="286"/>
    </row>
    <row r="224" spans="22:23" s="285" customFormat="1" x14ac:dyDescent="0.25">
      <c r="V224" s="286"/>
      <c r="W224" s="286"/>
    </row>
    <row r="225" spans="22:23" s="285" customFormat="1" x14ac:dyDescent="0.25">
      <c r="V225" s="286"/>
      <c r="W225" s="286"/>
    </row>
    <row r="226" spans="22:23" s="285" customFormat="1" x14ac:dyDescent="0.25">
      <c r="V226" s="286"/>
      <c r="W226" s="286"/>
    </row>
    <row r="227" spans="22:23" s="285" customFormat="1" x14ac:dyDescent="0.25">
      <c r="V227" s="286"/>
      <c r="W227" s="286"/>
    </row>
    <row r="228" spans="22:23" s="285" customFormat="1" x14ac:dyDescent="0.25">
      <c r="V228" s="286"/>
      <c r="W228" s="286"/>
    </row>
    <row r="229" spans="22:23" s="285" customFormat="1" x14ac:dyDescent="0.25">
      <c r="V229" s="286"/>
      <c r="W229" s="286"/>
    </row>
    <row r="230" spans="22:23" s="285" customFormat="1" x14ac:dyDescent="0.25">
      <c r="V230" s="286"/>
      <c r="W230" s="286"/>
    </row>
    <row r="231" spans="22:23" s="285" customFormat="1" x14ac:dyDescent="0.25">
      <c r="V231" s="286"/>
      <c r="W231" s="286"/>
    </row>
    <row r="232" spans="22:23" s="285" customFormat="1" x14ac:dyDescent="0.25">
      <c r="V232" s="286"/>
      <c r="W232" s="286"/>
    </row>
    <row r="233" spans="22:23" s="285" customFormat="1" x14ac:dyDescent="0.25">
      <c r="V233" s="286"/>
      <c r="W233" s="286"/>
    </row>
    <row r="234" spans="22:23" s="285" customFormat="1" x14ac:dyDescent="0.25">
      <c r="V234" s="286"/>
      <c r="W234" s="286"/>
    </row>
    <row r="235" spans="22:23" s="285" customFormat="1" x14ac:dyDescent="0.25">
      <c r="V235" s="286"/>
      <c r="W235" s="286"/>
    </row>
    <row r="236" spans="22:23" s="285" customFormat="1" x14ac:dyDescent="0.25">
      <c r="V236" s="286"/>
      <c r="W236" s="286"/>
    </row>
    <row r="237" spans="22:23" s="285" customFormat="1" x14ac:dyDescent="0.25">
      <c r="V237" s="286"/>
      <c r="W237" s="286"/>
    </row>
    <row r="238" spans="22:23" s="285" customFormat="1" x14ac:dyDescent="0.25">
      <c r="V238" s="286"/>
      <c r="W238" s="286"/>
    </row>
    <row r="239" spans="22:23" s="285" customFormat="1" x14ac:dyDescent="0.25">
      <c r="V239" s="286"/>
      <c r="W239" s="286"/>
    </row>
    <row r="240" spans="22:23" s="285" customFormat="1" x14ac:dyDescent="0.25">
      <c r="V240" s="286"/>
      <c r="W240" s="286"/>
    </row>
    <row r="241" spans="22:23" s="285" customFormat="1" x14ac:dyDescent="0.25">
      <c r="V241" s="286"/>
      <c r="W241" s="286"/>
    </row>
    <row r="242" spans="22:23" s="285" customFormat="1" x14ac:dyDescent="0.25">
      <c r="V242" s="286"/>
      <c r="W242" s="286"/>
    </row>
    <row r="243" spans="22:23" s="285" customFormat="1" x14ac:dyDescent="0.25">
      <c r="V243" s="286"/>
      <c r="W243" s="286"/>
    </row>
    <row r="244" spans="22:23" s="285" customFormat="1" x14ac:dyDescent="0.25">
      <c r="V244" s="286"/>
      <c r="W244" s="286"/>
    </row>
    <row r="245" spans="22:23" s="285" customFormat="1" x14ac:dyDescent="0.25">
      <c r="V245" s="286"/>
      <c r="W245" s="286"/>
    </row>
    <row r="246" spans="22:23" s="285" customFormat="1" x14ac:dyDescent="0.25">
      <c r="V246" s="286"/>
      <c r="W246" s="286"/>
    </row>
    <row r="247" spans="22:23" s="285" customFormat="1" x14ac:dyDescent="0.25">
      <c r="V247" s="286"/>
      <c r="W247" s="286"/>
    </row>
    <row r="248" spans="22:23" s="285" customFormat="1" x14ac:dyDescent="0.25">
      <c r="V248" s="286"/>
      <c r="W248" s="286"/>
    </row>
    <row r="249" spans="22:23" s="285" customFormat="1" x14ac:dyDescent="0.25">
      <c r="V249" s="286"/>
      <c r="W249" s="286"/>
    </row>
    <row r="250" spans="22:23" s="285" customFormat="1" x14ac:dyDescent="0.25">
      <c r="V250" s="286"/>
      <c r="W250" s="286"/>
    </row>
    <row r="251" spans="22:23" s="285" customFormat="1" x14ac:dyDescent="0.25">
      <c r="V251" s="286"/>
      <c r="W251" s="286"/>
    </row>
    <row r="252" spans="22:23" s="285" customFormat="1" x14ac:dyDescent="0.25">
      <c r="V252" s="286"/>
      <c r="W252" s="286"/>
    </row>
    <row r="253" spans="22:23" s="285" customFormat="1" x14ac:dyDescent="0.25">
      <c r="V253" s="286"/>
      <c r="W253" s="286"/>
    </row>
    <row r="254" spans="22:23" s="285" customFormat="1" x14ac:dyDescent="0.25">
      <c r="V254" s="286"/>
      <c r="W254" s="286"/>
    </row>
    <row r="255" spans="22:23" s="285" customFormat="1" x14ac:dyDescent="0.25">
      <c r="V255" s="286"/>
      <c r="W255" s="286"/>
    </row>
    <row r="256" spans="22:23" s="285" customFormat="1" x14ac:dyDescent="0.25">
      <c r="V256" s="286"/>
      <c r="W256" s="286"/>
    </row>
    <row r="257" spans="22:23" s="285" customFormat="1" x14ac:dyDescent="0.25">
      <c r="V257" s="286"/>
      <c r="W257" s="286"/>
    </row>
    <row r="258" spans="22:23" s="285" customFormat="1" x14ac:dyDescent="0.25">
      <c r="V258" s="286"/>
      <c r="W258" s="286"/>
    </row>
    <row r="259" spans="22:23" s="285" customFormat="1" x14ac:dyDescent="0.25">
      <c r="V259" s="286"/>
      <c r="W259" s="286"/>
    </row>
    <row r="260" spans="22:23" s="285" customFormat="1" x14ac:dyDescent="0.25">
      <c r="V260" s="286"/>
      <c r="W260" s="286"/>
    </row>
    <row r="261" spans="22:23" s="285" customFormat="1" x14ac:dyDescent="0.25">
      <c r="V261" s="286"/>
      <c r="W261" s="286"/>
    </row>
    <row r="262" spans="22:23" s="285" customFormat="1" x14ac:dyDescent="0.25">
      <c r="V262" s="286"/>
      <c r="W262" s="286"/>
    </row>
    <row r="263" spans="22:23" s="285" customFormat="1" x14ac:dyDescent="0.25">
      <c r="V263" s="286"/>
      <c r="W263" s="286"/>
    </row>
    <row r="264" spans="22:23" s="285" customFormat="1" x14ac:dyDescent="0.25">
      <c r="V264" s="286"/>
      <c r="W264" s="286"/>
    </row>
    <row r="265" spans="22:23" s="285" customFormat="1" x14ac:dyDescent="0.25">
      <c r="V265" s="286"/>
      <c r="W265" s="286"/>
    </row>
    <row r="266" spans="22:23" s="285" customFormat="1" x14ac:dyDescent="0.25">
      <c r="V266" s="286"/>
      <c r="W266" s="286"/>
    </row>
    <row r="267" spans="22:23" s="285" customFormat="1" x14ac:dyDescent="0.25">
      <c r="V267" s="286"/>
      <c r="W267" s="286"/>
    </row>
    <row r="268" spans="22:23" s="285" customFormat="1" x14ac:dyDescent="0.25">
      <c r="V268" s="286"/>
      <c r="W268" s="286"/>
    </row>
    <row r="269" spans="22:23" s="285" customFormat="1" x14ac:dyDescent="0.25">
      <c r="V269" s="286"/>
      <c r="W269" s="286"/>
    </row>
    <row r="270" spans="22:23" s="285" customFormat="1" x14ac:dyDescent="0.25">
      <c r="V270" s="286"/>
      <c r="W270" s="286"/>
    </row>
    <row r="271" spans="22:23" s="285" customFormat="1" x14ac:dyDescent="0.25">
      <c r="V271" s="286"/>
      <c r="W271" s="286"/>
    </row>
    <row r="272" spans="22:23" s="285" customFormat="1" x14ac:dyDescent="0.25">
      <c r="V272" s="286"/>
      <c r="W272" s="286"/>
    </row>
    <row r="273" spans="22:23" s="285" customFormat="1" x14ac:dyDescent="0.25">
      <c r="V273" s="286"/>
      <c r="W273" s="286"/>
    </row>
    <row r="274" spans="22:23" s="285" customFormat="1" x14ac:dyDescent="0.25">
      <c r="V274" s="286"/>
      <c r="W274" s="286"/>
    </row>
    <row r="275" spans="22:23" s="285" customFormat="1" x14ac:dyDescent="0.25">
      <c r="V275" s="286"/>
      <c r="W275" s="286"/>
    </row>
    <row r="276" spans="22:23" s="285" customFormat="1" x14ac:dyDescent="0.25">
      <c r="V276" s="286"/>
      <c r="W276" s="286"/>
    </row>
    <row r="277" spans="22:23" s="285" customFormat="1" x14ac:dyDescent="0.25">
      <c r="V277" s="286"/>
      <c r="W277" s="286"/>
    </row>
    <row r="278" spans="22:23" s="285" customFormat="1" x14ac:dyDescent="0.25">
      <c r="V278" s="286"/>
      <c r="W278" s="286"/>
    </row>
    <row r="279" spans="22:23" s="285" customFormat="1" x14ac:dyDescent="0.25">
      <c r="V279" s="286"/>
      <c r="W279" s="286"/>
    </row>
    <row r="280" spans="22:23" s="285" customFormat="1" x14ac:dyDescent="0.25">
      <c r="V280" s="286"/>
      <c r="W280" s="286"/>
    </row>
    <row r="281" spans="22:23" s="285" customFormat="1" x14ac:dyDescent="0.25">
      <c r="V281" s="286"/>
      <c r="W281" s="286"/>
    </row>
    <row r="282" spans="22:23" s="285" customFormat="1" x14ac:dyDescent="0.25">
      <c r="V282" s="286"/>
      <c r="W282" s="286"/>
    </row>
    <row r="283" spans="22:23" s="285" customFormat="1" x14ac:dyDescent="0.25">
      <c r="V283" s="286"/>
      <c r="W283" s="286"/>
    </row>
    <row r="284" spans="22:23" s="285" customFormat="1" x14ac:dyDescent="0.25">
      <c r="V284" s="286"/>
      <c r="W284" s="286"/>
    </row>
    <row r="285" spans="22:23" s="285" customFormat="1" x14ac:dyDescent="0.25">
      <c r="V285" s="286"/>
      <c r="W285" s="286"/>
    </row>
    <row r="286" spans="22:23" s="285" customFormat="1" x14ac:dyDescent="0.25">
      <c r="V286" s="286"/>
      <c r="W286" s="286"/>
    </row>
    <row r="287" spans="22:23" s="285" customFormat="1" x14ac:dyDescent="0.25">
      <c r="V287" s="286"/>
      <c r="W287" s="286"/>
    </row>
    <row r="288" spans="22:23" s="285" customFormat="1" x14ac:dyDescent="0.25">
      <c r="V288" s="286"/>
      <c r="W288" s="286"/>
    </row>
    <row r="289" spans="22:23" s="285" customFormat="1" x14ac:dyDescent="0.25">
      <c r="V289" s="286"/>
      <c r="W289" s="286"/>
    </row>
    <row r="290" spans="22:23" s="285" customFormat="1" x14ac:dyDescent="0.25">
      <c r="V290" s="286"/>
      <c r="W290" s="286"/>
    </row>
    <row r="291" spans="22:23" s="285" customFormat="1" x14ac:dyDescent="0.25">
      <c r="V291" s="286"/>
      <c r="W291" s="286"/>
    </row>
    <row r="292" spans="22:23" s="285" customFormat="1" x14ac:dyDescent="0.25">
      <c r="V292" s="286"/>
      <c r="W292" s="286"/>
    </row>
    <row r="293" spans="22:23" s="285" customFormat="1" x14ac:dyDescent="0.25">
      <c r="V293" s="286"/>
      <c r="W293" s="286"/>
    </row>
    <row r="294" spans="22:23" s="285" customFormat="1" x14ac:dyDescent="0.25">
      <c r="V294" s="286"/>
      <c r="W294" s="286"/>
    </row>
    <row r="295" spans="22:23" s="285" customFormat="1" x14ac:dyDescent="0.25">
      <c r="V295" s="286"/>
      <c r="W295" s="286"/>
    </row>
    <row r="296" spans="22:23" s="285" customFormat="1" x14ac:dyDescent="0.25">
      <c r="V296" s="286"/>
      <c r="W296" s="286"/>
    </row>
    <row r="297" spans="22:23" s="285" customFormat="1" x14ac:dyDescent="0.25">
      <c r="V297" s="286"/>
      <c r="W297" s="286"/>
    </row>
    <row r="298" spans="22:23" s="285" customFormat="1" x14ac:dyDescent="0.25">
      <c r="V298" s="286"/>
      <c r="W298" s="286"/>
    </row>
    <row r="299" spans="22:23" s="285" customFormat="1" x14ac:dyDescent="0.25">
      <c r="V299" s="286"/>
      <c r="W299" s="286"/>
    </row>
    <row r="300" spans="22:23" s="285" customFormat="1" x14ac:dyDescent="0.25">
      <c r="V300" s="286"/>
      <c r="W300" s="286"/>
    </row>
    <row r="301" spans="22:23" s="285" customFormat="1" x14ac:dyDescent="0.25">
      <c r="V301" s="286"/>
      <c r="W301" s="286"/>
    </row>
    <row r="302" spans="22:23" s="285" customFormat="1" x14ac:dyDescent="0.25">
      <c r="V302" s="286"/>
      <c r="W302" s="286"/>
    </row>
    <row r="303" spans="22:23" s="285" customFormat="1" x14ac:dyDescent="0.25">
      <c r="V303" s="286"/>
      <c r="W303" s="286"/>
    </row>
    <row r="304" spans="22:23" s="285" customFormat="1" x14ac:dyDescent="0.25">
      <c r="V304" s="286"/>
      <c r="W304" s="286"/>
    </row>
    <row r="305" spans="22:23" s="285" customFormat="1" x14ac:dyDescent="0.25">
      <c r="V305" s="286"/>
      <c r="W305" s="286"/>
    </row>
    <row r="306" spans="22:23" s="285" customFormat="1" x14ac:dyDescent="0.25">
      <c r="V306" s="286"/>
      <c r="W306" s="286"/>
    </row>
    <row r="307" spans="22:23" s="285" customFormat="1" x14ac:dyDescent="0.25">
      <c r="V307" s="286"/>
      <c r="W307" s="286"/>
    </row>
    <row r="308" spans="22:23" s="285" customFormat="1" x14ac:dyDescent="0.25">
      <c r="V308" s="286"/>
      <c r="W308" s="286"/>
    </row>
    <row r="309" spans="22:23" s="285" customFormat="1" x14ac:dyDescent="0.25">
      <c r="V309" s="286"/>
      <c r="W309" s="286"/>
    </row>
    <row r="310" spans="22:23" s="285" customFormat="1" x14ac:dyDescent="0.25">
      <c r="V310" s="286"/>
      <c r="W310" s="286"/>
    </row>
    <row r="311" spans="22:23" s="285" customFormat="1" x14ac:dyDescent="0.25">
      <c r="V311" s="286"/>
      <c r="W311" s="286"/>
    </row>
    <row r="312" spans="22:23" s="285" customFormat="1" x14ac:dyDescent="0.25">
      <c r="V312" s="286"/>
      <c r="W312" s="286"/>
    </row>
    <row r="313" spans="22:23" s="285" customFormat="1" x14ac:dyDescent="0.25">
      <c r="V313" s="286"/>
      <c r="W313" s="286"/>
    </row>
    <row r="314" spans="22:23" s="285" customFormat="1" x14ac:dyDescent="0.25">
      <c r="V314" s="286"/>
      <c r="W314" s="286"/>
    </row>
    <row r="315" spans="22:23" s="285" customFormat="1" x14ac:dyDescent="0.25">
      <c r="V315" s="286"/>
      <c r="W315" s="286"/>
    </row>
    <row r="316" spans="22:23" s="285" customFormat="1" x14ac:dyDescent="0.25">
      <c r="V316" s="286"/>
      <c r="W316" s="286"/>
    </row>
    <row r="317" spans="22:23" s="285" customFormat="1" x14ac:dyDescent="0.25">
      <c r="V317" s="286"/>
      <c r="W317" s="286"/>
    </row>
    <row r="318" spans="22:23" s="285" customFormat="1" x14ac:dyDescent="0.25">
      <c r="V318" s="286"/>
      <c r="W318" s="286"/>
    </row>
    <row r="319" spans="22:23" s="285" customFormat="1" x14ac:dyDescent="0.25">
      <c r="V319" s="286"/>
      <c r="W319" s="286"/>
    </row>
    <row r="320" spans="22:23" s="285" customFormat="1" x14ac:dyDescent="0.25">
      <c r="V320" s="286"/>
      <c r="W320" s="286"/>
    </row>
    <row r="321" spans="22:23" s="285" customFormat="1" x14ac:dyDescent="0.25">
      <c r="V321" s="286"/>
      <c r="W321" s="286"/>
    </row>
    <row r="322" spans="22:23" s="285" customFormat="1" x14ac:dyDescent="0.25">
      <c r="V322" s="286"/>
      <c r="W322" s="286"/>
    </row>
    <row r="323" spans="22:23" s="285" customFormat="1" x14ac:dyDescent="0.25">
      <c r="V323" s="286"/>
      <c r="W323" s="286"/>
    </row>
    <row r="324" spans="22:23" s="285" customFormat="1" x14ac:dyDescent="0.25">
      <c r="V324" s="286"/>
      <c r="W324" s="286"/>
    </row>
    <row r="325" spans="22:23" s="285" customFormat="1" x14ac:dyDescent="0.25">
      <c r="V325" s="286"/>
      <c r="W325" s="286"/>
    </row>
    <row r="326" spans="22:23" s="285" customFormat="1" x14ac:dyDescent="0.25">
      <c r="V326" s="286"/>
      <c r="W326" s="286"/>
    </row>
    <row r="327" spans="22:23" s="285" customFormat="1" x14ac:dyDescent="0.25">
      <c r="V327" s="286"/>
      <c r="W327" s="286"/>
    </row>
    <row r="328" spans="22:23" s="285" customFormat="1" x14ac:dyDescent="0.25">
      <c r="V328" s="286"/>
      <c r="W328" s="286"/>
    </row>
    <row r="329" spans="22:23" s="285" customFormat="1" x14ac:dyDescent="0.25">
      <c r="V329" s="286"/>
      <c r="W329" s="286"/>
    </row>
    <row r="330" spans="22:23" s="285" customFormat="1" x14ac:dyDescent="0.25">
      <c r="V330" s="286"/>
      <c r="W330" s="286"/>
    </row>
    <row r="331" spans="22:23" s="285" customFormat="1" x14ac:dyDescent="0.25">
      <c r="V331" s="286"/>
      <c r="W331" s="286"/>
    </row>
    <row r="332" spans="22:23" s="285" customFormat="1" x14ac:dyDescent="0.25">
      <c r="V332" s="286"/>
      <c r="W332" s="286"/>
    </row>
    <row r="333" spans="22:23" s="285" customFormat="1" x14ac:dyDescent="0.25">
      <c r="V333" s="286"/>
      <c r="W333" s="286"/>
    </row>
    <row r="334" spans="22:23" s="285" customFormat="1" x14ac:dyDescent="0.25">
      <c r="V334" s="286"/>
      <c r="W334" s="286"/>
    </row>
    <row r="335" spans="22:23" s="285" customFormat="1" x14ac:dyDescent="0.25">
      <c r="V335" s="286"/>
      <c r="W335" s="286"/>
    </row>
    <row r="336" spans="22:23" s="285" customFormat="1" x14ac:dyDescent="0.25">
      <c r="V336" s="286"/>
      <c r="W336" s="286"/>
    </row>
    <row r="337" spans="22:23" s="285" customFormat="1" x14ac:dyDescent="0.25">
      <c r="V337" s="286"/>
      <c r="W337" s="286"/>
    </row>
    <row r="338" spans="22:23" s="285" customFormat="1" x14ac:dyDescent="0.25">
      <c r="V338" s="286"/>
      <c r="W338" s="286"/>
    </row>
    <row r="339" spans="22:23" s="285" customFormat="1" x14ac:dyDescent="0.25">
      <c r="V339" s="286"/>
      <c r="W339" s="286"/>
    </row>
    <row r="340" spans="22:23" s="285" customFormat="1" x14ac:dyDescent="0.25">
      <c r="V340" s="286"/>
      <c r="W340" s="286"/>
    </row>
    <row r="341" spans="22:23" s="285" customFormat="1" x14ac:dyDescent="0.25">
      <c r="V341" s="286"/>
      <c r="W341" s="286"/>
    </row>
    <row r="342" spans="22:23" s="285" customFormat="1" x14ac:dyDescent="0.25">
      <c r="V342" s="286"/>
      <c r="W342" s="286"/>
    </row>
    <row r="343" spans="22:23" s="285" customFormat="1" x14ac:dyDescent="0.25">
      <c r="V343" s="286"/>
      <c r="W343" s="286"/>
    </row>
    <row r="344" spans="22:23" s="285" customFormat="1" x14ac:dyDescent="0.25">
      <c r="V344" s="286"/>
      <c r="W344" s="286"/>
    </row>
    <row r="345" spans="22:23" s="285" customFormat="1" x14ac:dyDescent="0.25">
      <c r="V345" s="286"/>
      <c r="W345" s="286"/>
    </row>
    <row r="346" spans="22:23" s="285" customFormat="1" x14ac:dyDescent="0.25">
      <c r="V346" s="286"/>
      <c r="W346" s="286"/>
    </row>
    <row r="347" spans="22:23" s="285" customFormat="1" x14ac:dyDescent="0.25">
      <c r="V347" s="286"/>
      <c r="W347" s="286"/>
    </row>
    <row r="348" spans="22:23" s="285" customFormat="1" x14ac:dyDescent="0.25">
      <c r="V348" s="286"/>
      <c r="W348" s="286"/>
    </row>
    <row r="349" spans="22:23" s="285" customFormat="1" x14ac:dyDescent="0.25">
      <c r="V349" s="286"/>
      <c r="W349" s="286"/>
    </row>
    <row r="350" spans="22:23" s="285" customFormat="1" x14ac:dyDescent="0.25">
      <c r="V350" s="286"/>
      <c r="W350" s="286"/>
    </row>
    <row r="351" spans="22:23" s="285" customFormat="1" x14ac:dyDescent="0.25">
      <c r="V351" s="286"/>
      <c r="W351" s="286"/>
    </row>
    <row r="352" spans="22:23" s="285" customFormat="1" x14ac:dyDescent="0.25">
      <c r="V352" s="286"/>
      <c r="W352" s="286"/>
    </row>
    <row r="353" spans="22:23" s="285" customFormat="1" x14ac:dyDescent="0.25">
      <c r="V353" s="286"/>
      <c r="W353" s="286"/>
    </row>
    <row r="354" spans="22:23" s="285" customFormat="1" x14ac:dyDescent="0.25">
      <c r="V354" s="286"/>
      <c r="W354" s="286"/>
    </row>
    <row r="355" spans="22:23" s="285" customFormat="1" x14ac:dyDescent="0.25">
      <c r="V355" s="286"/>
      <c r="W355" s="286"/>
    </row>
    <row r="356" spans="22:23" s="285" customFormat="1" x14ac:dyDescent="0.25">
      <c r="V356" s="286"/>
      <c r="W356" s="286"/>
    </row>
    <row r="357" spans="22:23" s="285" customFormat="1" x14ac:dyDescent="0.25">
      <c r="V357" s="286"/>
      <c r="W357" s="286"/>
    </row>
    <row r="358" spans="22:23" s="285" customFormat="1" x14ac:dyDescent="0.25">
      <c r="V358" s="286"/>
      <c r="W358" s="286"/>
    </row>
    <row r="359" spans="22:23" s="285" customFormat="1" x14ac:dyDescent="0.25">
      <c r="V359" s="286"/>
      <c r="W359" s="286"/>
    </row>
    <row r="360" spans="22:23" s="285" customFormat="1" x14ac:dyDescent="0.25">
      <c r="V360" s="286"/>
      <c r="W360" s="286"/>
    </row>
    <row r="361" spans="22:23" s="285" customFormat="1" x14ac:dyDescent="0.25">
      <c r="V361" s="286"/>
      <c r="W361" s="286"/>
    </row>
    <row r="362" spans="22:23" s="285" customFormat="1" x14ac:dyDescent="0.25">
      <c r="V362" s="286"/>
      <c r="W362" s="286"/>
    </row>
    <row r="363" spans="22:23" s="285" customFormat="1" x14ac:dyDescent="0.25">
      <c r="V363" s="286"/>
      <c r="W363" s="286"/>
    </row>
    <row r="364" spans="22:23" s="285" customFormat="1" x14ac:dyDescent="0.25">
      <c r="V364" s="286"/>
      <c r="W364" s="286"/>
    </row>
    <row r="365" spans="22:23" s="285" customFormat="1" x14ac:dyDescent="0.25">
      <c r="V365" s="286"/>
      <c r="W365" s="286"/>
    </row>
    <row r="366" spans="22:23" s="285" customFormat="1" x14ac:dyDescent="0.25">
      <c r="V366" s="286"/>
      <c r="W366" s="286"/>
    </row>
    <row r="367" spans="22:23" s="285" customFormat="1" x14ac:dyDescent="0.25">
      <c r="V367" s="286"/>
      <c r="W367" s="286"/>
    </row>
    <row r="368" spans="22:23" s="285" customFormat="1" x14ac:dyDescent="0.25">
      <c r="V368" s="286"/>
      <c r="W368" s="286"/>
    </row>
    <row r="369" spans="22:23" s="285" customFormat="1" x14ac:dyDescent="0.25">
      <c r="V369" s="286"/>
      <c r="W369" s="286"/>
    </row>
    <row r="370" spans="22:23" s="285" customFormat="1" x14ac:dyDescent="0.25">
      <c r="V370" s="286"/>
      <c r="W370" s="286"/>
    </row>
    <row r="371" spans="22:23" s="285" customFormat="1" x14ac:dyDescent="0.25">
      <c r="V371" s="286"/>
      <c r="W371" s="286"/>
    </row>
    <row r="372" spans="22:23" s="285" customFormat="1" x14ac:dyDescent="0.25">
      <c r="V372" s="286"/>
      <c r="W372" s="286"/>
    </row>
    <row r="373" spans="22:23" s="285" customFormat="1" x14ac:dyDescent="0.25">
      <c r="V373" s="286"/>
      <c r="W373" s="286"/>
    </row>
    <row r="374" spans="22:23" s="285" customFormat="1" x14ac:dyDescent="0.25">
      <c r="V374" s="286"/>
      <c r="W374" s="286"/>
    </row>
    <row r="375" spans="22:23" s="285" customFormat="1" x14ac:dyDescent="0.25">
      <c r="V375" s="286"/>
      <c r="W375" s="286"/>
    </row>
    <row r="376" spans="22:23" s="285" customFormat="1" x14ac:dyDescent="0.25">
      <c r="V376" s="286"/>
      <c r="W376" s="286"/>
    </row>
    <row r="377" spans="22:23" s="285" customFormat="1" x14ac:dyDescent="0.25">
      <c r="V377" s="286"/>
      <c r="W377" s="286"/>
    </row>
    <row r="378" spans="22:23" s="285" customFormat="1" x14ac:dyDescent="0.25">
      <c r="V378" s="286"/>
      <c r="W378" s="286"/>
    </row>
    <row r="379" spans="22:23" s="285" customFormat="1" x14ac:dyDescent="0.25">
      <c r="V379" s="286"/>
      <c r="W379" s="286"/>
    </row>
    <row r="380" spans="22:23" s="285" customFormat="1" x14ac:dyDescent="0.25">
      <c r="V380" s="286"/>
      <c r="W380" s="286"/>
    </row>
    <row r="381" spans="22:23" s="285" customFormat="1" x14ac:dyDescent="0.25">
      <c r="V381" s="286"/>
      <c r="W381" s="286"/>
    </row>
    <row r="382" spans="22:23" s="285" customFormat="1" x14ac:dyDescent="0.25">
      <c r="V382" s="286"/>
      <c r="W382" s="286"/>
    </row>
    <row r="383" spans="22:23" s="285" customFormat="1" x14ac:dyDescent="0.25">
      <c r="V383" s="286"/>
      <c r="W383" s="286"/>
    </row>
    <row r="384" spans="22:23" s="285" customFormat="1" x14ac:dyDescent="0.25">
      <c r="V384" s="286"/>
      <c r="W384" s="286"/>
    </row>
    <row r="385" spans="22:23" s="285" customFormat="1" x14ac:dyDescent="0.25">
      <c r="V385" s="286"/>
      <c r="W385" s="286"/>
    </row>
    <row r="386" spans="22:23" s="285" customFormat="1" x14ac:dyDescent="0.25">
      <c r="V386" s="286"/>
      <c r="W386" s="286"/>
    </row>
    <row r="387" spans="22:23" s="285" customFormat="1" x14ac:dyDescent="0.25">
      <c r="V387" s="286"/>
      <c r="W387" s="286"/>
    </row>
    <row r="388" spans="22:23" s="285" customFormat="1" x14ac:dyDescent="0.25">
      <c r="V388" s="286"/>
      <c r="W388" s="286"/>
    </row>
    <row r="389" spans="22:23" s="285" customFormat="1" x14ac:dyDescent="0.25">
      <c r="V389" s="286"/>
      <c r="W389" s="286"/>
    </row>
    <row r="390" spans="22:23" s="285" customFormat="1" x14ac:dyDescent="0.25">
      <c r="V390" s="286"/>
      <c r="W390" s="286"/>
    </row>
    <row r="391" spans="22:23" s="285" customFormat="1" x14ac:dyDescent="0.25">
      <c r="V391" s="286"/>
      <c r="W391" s="286"/>
    </row>
    <row r="392" spans="22:23" s="285" customFormat="1" x14ac:dyDescent="0.25">
      <c r="V392" s="286"/>
      <c r="W392" s="286"/>
    </row>
    <row r="393" spans="22:23" s="285" customFormat="1" x14ac:dyDescent="0.25">
      <c r="V393" s="286"/>
      <c r="W393" s="286"/>
    </row>
    <row r="394" spans="22:23" s="285" customFormat="1" x14ac:dyDescent="0.25">
      <c r="V394" s="286"/>
      <c r="W394" s="286"/>
    </row>
    <row r="395" spans="22:23" s="285" customFormat="1" x14ac:dyDescent="0.25">
      <c r="V395" s="286"/>
      <c r="W395" s="286"/>
    </row>
    <row r="396" spans="22:23" s="285" customFormat="1" x14ac:dyDescent="0.25">
      <c r="V396" s="286"/>
      <c r="W396" s="286"/>
    </row>
    <row r="397" spans="22:23" s="285" customFormat="1" x14ac:dyDescent="0.25">
      <c r="V397" s="286"/>
      <c r="W397" s="286"/>
    </row>
    <row r="398" spans="22:23" s="285" customFormat="1" x14ac:dyDescent="0.25">
      <c r="V398" s="286"/>
      <c r="W398" s="286"/>
    </row>
    <row r="399" spans="22:23" s="285" customFormat="1" x14ac:dyDescent="0.25">
      <c r="V399" s="286"/>
      <c r="W399" s="286"/>
    </row>
    <row r="400" spans="22:23" s="285" customFormat="1" x14ac:dyDescent="0.25">
      <c r="V400" s="286"/>
      <c r="W400" s="286"/>
    </row>
    <row r="401" spans="22:23" s="285" customFormat="1" x14ac:dyDescent="0.25">
      <c r="V401" s="286"/>
      <c r="W401" s="286"/>
    </row>
    <row r="402" spans="22:23" s="285" customFormat="1" x14ac:dyDescent="0.25">
      <c r="V402" s="286"/>
      <c r="W402" s="286"/>
    </row>
    <row r="403" spans="22:23" s="285" customFormat="1" x14ac:dyDescent="0.25">
      <c r="V403" s="286"/>
      <c r="W403" s="286"/>
    </row>
    <row r="404" spans="22:23" s="285" customFormat="1" x14ac:dyDescent="0.25">
      <c r="V404" s="286"/>
      <c r="W404" s="286"/>
    </row>
    <row r="405" spans="22:23" s="285" customFormat="1" x14ac:dyDescent="0.25">
      <c r="V405" s="286"/>
      <c r="W405" s="286"/>
    </row>
    <row r="406" spans="22:23" s="285" customFormat="1" x14ac:dyDescent="0.25">
      <c r="V406" s="286"/>
      <c r="W406" s="286"/>
    </row>
    <row r="407" spans="22:23" s="285" customFormat="1" x14ac:dyDescent="0.25">
      <c r="V407" s="286"/>
      <c r="W407" s="286"/>
    </row>
    <row r="408" spans="22:23" s="285" customFormat="1" x14ac:dyDescent="0.25">
      <c r="V408" s="286"/>
      <c r="W408" s="286"/>
    </row>
    <row r="409" spans="22:23" s="285" customFormat="1" x14ac:dyDescent="0.25">
      <c r="V409" s="286"/>
      <c r="W409" s="286"/>
    </row>
    <row r="410" spans="22:23" s="285" customFormat="1" x14ac:dyDescent="0.25">
      <c r="V410" s="286"/>
      <c r="W410" s="286"/>
    </row>
  </sheetData>
  <sheetProtection algorithmName="SHA-512" hashValue="pyYNswXhGGIreBrBQmYQ3hxc66yQuNm69d/DoF5ElmjVZHnaQ0j2UQopqngyKqIcRv+KW7aWUm7MS/hqzdM7oQ==" saltValue="sK9l/Vy6daB8SSL7rifuRg==" spinCount="100000" sheet="1" objects="1" scenarios="1" selectLockedCells="1" selectUnlockedCells="1"/>
  <mergeCells count="92">
    <mergeCell ref="A7:A14"/>
    <mergeCell ref="B7:B14"/>
    <mergeCell ref="C7:C14"/>
    <mergeCell ref="D7:D14"/>
    <mergeCell ref="E7:E14"/>
    <mergeCell ref="C1:X3"/>
    <mergeCell ref="A4:K4"/>
    <mergeCell ref="L4:P5"/>
    <mergeCell ref="Q4:U5"/>
    <mergeCell ref="V4:W5"/>
    <mergeCell ref="X4:X5"/>
    <mergeCell ref="Y4:AF4"/>
    <mergeCell ref="AG4:AN4"/>
    <mergeCell ref="AO4:AV4"/>
    <mergeCell ref="A5:C5"/>
    <mergeCell ref="E5:F5"/>
    <mergeCell ref="G5:I5"/>
    <mergeCell ref="J5:J6"/>
    <mergeCell ref="K5:K6"/>
    <mergeCell ref="Y5:AB5"/>
    <mergeCell ref="AC5:AF5"/>
    <mergeCell ref="AG5:AJ5"/>
    <mergeCell ref="AK5:AN5"/>
    <mergeCell ref="AO5:AR5"/>
    <mergeCell ref="AS5:AV5"/>
    <mergeCell ref="P7:P8"/>
    <mergeCell ref="W7:W14"/>
    <mergeCell ref="AQ7:AQ8"/>
    <mergeCell ref="AR7:AR8"/>
    <mergeCell ref="Y7:Y8"/>
    <mergeCell ref="Z7:Z8"/>
    <mergeCell ref="AA7:AA8"/>
    <mergeCell ref="AB7:AB8"/>
    <mergeCell ref="AG7:AG8"/>
    <mergeCell ref="AH7:AH8"/>
    <mergeCell ref="P10:P12"/>
    <mergeCell ref="AI7:AI8"/>
    <mergeCell ref="AJ7:AJ8"/>
    <mergeCell ref="AO7:AO8"/>
    <mergeCell ref="AP7:AP8"/>
    <mergeCell ref="X7:X14"/>
    <mergeCell ref="F10:F12"/>
    <mergeCell ref="L10:L12"/>
    <mergeCell ref="M10:M12"/>
    <mergeCell ref="N10:N12"/>
    <mergeCell ref="O10:O12"/>
    <mergeCell ref="G7:G14"/>
    <mergeCell ref="H7:H14"/>
    <mergeCell ref="I7:I14"/>
    <mergeCell ref="J7:J14"/>
    <mergeCell ref="K7:K14"/>
    <mergeCell ref="L7:L8"/>
    <mergeCell ref="F13:F14"/>
    <mergeCell ref="F7:F9"/>
    <mergeCell ref="M7:M8"/>
    <mergeCell ref="N7:N8"/>
    <mergeCell ref="O7:O8"/>
    <mergeCell ref="AR10:AR12"/>
    <mergeCell ref="Y10:Y12"/>
    <mergeCell ref="Z10:Z12"/>
    <mergeCell ref="AA10:AA12"/>
    <mergeCell ref="AB10:AB12"/>
    <mergeCell ref="AG10:AG12"/>
    <mergeCell ref="AH10:AH12"/>
    <mergeCell ref="AI10:AI12"/>
    <mergeCell ref="AJ10:AJ12"/>
    <mergeCell ref="AO10:AO12"/>
    <mergeCell ref="AP10:AP12"/>
    <mergeCell ref="AQ10:AQ12"/>
    <mergeCell ref="AH13:AH14"/>
    <mergeCell ref="L13:L14"/>
    <mergeCell ref="M13:M14"/>
    <mergeCell ref="N13:N14"/>
    <mergeCell ref="O13:O14"/>
    <mergeCell ref="P13:P14"/>
    <mergeCell ref="Y13:Y14"/>
    <mergeCell ref="Z13:Z14"/>
    <mergeCell ref="AA13:AA14"/>
    <mergeCell ref="AB13:AB14"/>
    <mergeCell ref="AG13:AG14"/>
    <mergeCell ref="AS15:AT15"/>
    <mergeCell ref="AI13:AI14"/>
    <mergeCell ref="AJ13:AJ14"/>
    <mergeCell ref="AO13:AO14"/>
    <mergeCell ref="AP13:AP14"/>
    <mergeCell ref="AQ13:AQ14"/>
    <mergeCell ref="AR13:AR14"/>
    <mergeCell ref="Y15:Z15"/>
    <mergeCell ref="AC15:AD15"/>
    <mergeCell ref="AG15:AH15"/>
    <mergeCell ref="AK15:AL15"/>
    <mergeCell ref="AO15:AP1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6D24F-5859-4EBC-B823-B92A45229310}">
  <sheetPr>
    <tabColor rgb="FFFF0000"/>
  </sheetPr>
  <dimension ref="A1:BW19"/>
  <sheetViews>
    <sheetView topLeftCell="X1" zoomScaleNormal="100" workbookViewId="0">
      <pane xSplit="1" ySplit="6" topLeftCell="AA7" activePane="bottomRight" state="frozen"/>
      <selection activeCell="X1" sqref="X1"/>
      <selection pane="topRight" activeCell="Y1" sqref="Y1"/>
      <selection pane="bottomLeft" activeCell="X7" sqref="X7"/>
      <selection pane="bottomRight" activeCell="AA19" sqref="AA19"/>
    </sheetView>
  </sheetViews>
  <sheetFormatPr baseColWidth="10" defaultRowHeight="15" x14ac:dyDescent="0.25"/>
  <cols>
    <col min="1" max="1" width="23.140625" customWidth="1"/>
    <col min="2" max="2" width="23" customWidth="1"/>
    <col min="3" max="3" width="17.42578125" customWidth="1"/>
    <col min="4" max="4" width="22.5703125" customWidth="1"/>
    <col min="5" max="6" width="22" customWidth="1"/>
    <col min="7" max="7" width="14.7109375" customWidth="1"/>
    <col min="8" max="8" width="15.28515625" customWidth="1"/>
    <col min="9" max="9" width="14.140625" customWidth="1"/>
    <col min="10" max="10" width="14.42578125" customWidth="1"/>
    <col min="11" max="11" width="17.42578125" customWidth="1"/>
    <col min="12" max="12" width="23.5703125" customWidth="1"/>
    <col min="13" max="13" width="22.28515625" customWidth="1"/>
    <col min="17" max="17" width="24.42578125" customWidth="1"/>
    <col min="18" max="18" width="22.5703125" customWidth="1"/>
    <col min="19" max="19" width="13.5703125" customWidth="1"/>
    <col min="22" max="23" width="13.5703125" bestFit="1" customWidth="1"/>
    <col min="24" max="24" width="69.42578125" customWidth="1"/>
    <col min="25" max="25" width="17.140625" customWidth="1"/>
    <col min="27" max="27" width="15.42578125" customWidth="1"/>
    <col min="28" max="28" width="32.7109375" customWidth="1"/>
    <col min="29" max="29" width="17.140625" customWidth="1"/>
    <col min="31" max="31" width="17.7109375" customWidth="1"/>
    <col min="32" max="32" width="38.7109375" customWidth="1"/>
    <col min="33" max="33" width="16.42578125" customWidth="1"/>
    <col min="36" max="36" width="34.140625" customWidth="1"/>
    <col min="40" max="40" width="32.28515625" customWidth="1"/>
    <col min="44" max="44" width="33.85546875" customWidth="1"/>
    <col min="48" max="48" width="32.28515625" customWidth="1"/>
  </cols>
  <sheetData>
    <row r="1" spans="1:75" s="1" customFormat="1" ht="15.75" x14ac:dyDescent="0.25">
      <c r="C1" s="413" t="s">
        <v>0</v>
      </c>
      <c r="D1" s="413"/>
      <c r="E1" s="413"/>
      <c r="F1" s="413"/>
      <c r="G1" s="413"/>
      <c r="H1" s="413"/>
      <c r="I1" s="413"/>
      <c r="J1" s="413"/>
      <c r="K1" s="413"/>
      <c r="L1" s="413"/>
      <c r="M1" s="413"/>
      <c r="N1" s="413"/>
      <c r="O1" s="413"/>
      <c r="P1" s="413"/>
      <c r="Q1" s="413"/>
      <c r="R1" s="413"/>
      <c r="S1" s="413"/>
      <c r="T1" s="413"/>
      <c r="U1" s="413"/>
      <c r="V1" s="413"/>
      <c r="W1" s="413"/>
      <c r="X1" s="413"/>
      <c r="AE1" s="2"/>
      <c r="AF1" s="3"/>
      <c r="AM1" s="2"/>
      <c r="AN1" s="3"/>
      <c r="AU1" s="4" t="s">
        <v>1</v>
      </c>
      <c r="AV1" s="5">
        <v>43458</v>
      </c>
    </row>
    <row r="2" spans="1:75" s="1" customFormat="1" ht="30" customHeight="1" x14ac:dyDescent="0.25">
      <c r="C2" s="413"/>
      <c r="D2" s="413"/>
      <c r="E2" s="413"/>
      <c r="F2" s="413"/>
      <c r="G2" s="413"/>
      <c r="H2" s="413"/>
      <c r="I2" s="413"/>
      <c r="J2" s="413"/>
      <c r="K2" s="413"/>
      <c r="L2" s="413"/>
      <c r="M2" s="413"/>
      <c r="N2" s="413"/>
      <c r="O2" s="413"/>
      <c r="P2" s="413"/>
      <c r="Q2" s="413"/>
      <c r="R2" s="413"/>
      <c r="S2" s="413"/>
      <c r="T2" s="413"/>
      <c r="U2" s="413"/>
      <c r="V2" s="413"/>
      <c r="W2" s="413"/>
      <c r="X2" s="413"/>
      <c r="AE2" s="2"/>
      <c r="AF2" s="2"/>
      <c r="AM2" s="2"/>
      <c r="AN2" s="2"/>
      <c r="AU2" s="4" t="s">
        <v>2</v>
      </c>
      <c r="AV2" s="4">
        <v>5</v>
      </c>
    </row>
    <row r="3" spans="1:75" s="1" customFormat="1" ht="29.25" customHeight="1" x14ac:dyDescent="0.25">
      <c r="C3" s="413"/>
      <c r="D3" s="413"/>
      <c r="E3" s="413"/>
      <c r="F3" s="413"/>
      <c r="G3" s="413"/>
      <c r="H3" s="413"/>
      <c r="I3" s="413"/>
      <c r="J3" s="413"/>
      <c r="K3" s="413"/>
      <c r="L3" s="413"/>
      <c r="M3" s="413"/>
      <c r="N3" s="413"/>
      <c r="O3" s="413"/>
      <c r="P3" s="413"/>
      <c r="Q3" s="413"/>
      <c r="R3" s="413"/>
      <c r="S3" s="413"/>
      <c r="T3" s="413"/>
      <c r="U3" s="413"/>
      <c r="V3" s="413"/>
      <c r="W3" s="413"/>
      <c r="X3" s="413"/>
      <c r="AE3" s="2"/>
      <c r="AF3" s="2"/>
      <c r="AM3" s="2"/>
      <c r="AN3" s="2"/>
      <c r="AU3" s="4" t="s">
        <v>3</v>
      </c>
      <c r="AV3" s="4" t="s">
        <v>4</v>
      </c>
    </row>
    <row r="4" spans="1:75" s="204" customFormat="1" x14ac:dyDescent="0.25">
      <c r="A4" s="414" t="s">
        <v>5</v>
      </c>
      <c r="B4" s="415"/>
      <c r="C4" s="415"/>
      <c r="D4" s="415"/>
      <c r="E4" s="415"/>
      <c r="F4" s="415"/>
      <c r="G4" s="415"/>
      <c r="H4" s="415"/>
      <c r="I4" s="415"/>
      <c r="J4" s="415"/>
      <c r="K4" s="416"/>
      <c r="L4" s="417" t="s">
        <v>6</v>
      </c>
      <c r="M4" s="418"/>
      <c r="N4" s="418"/>
      <c r="O4" s="418"/>
      <c r="P4" s="419"/>
      <c r="Q4" s="417" t="s">
        <v>7</v>
      </c>
      <c r="R4" s="418"/>
      <c r="S4" s="418"/>
      <c r="T4" s="418"/>
      <c r="U4" s="419"/>
      <c r="V4" s="429" t="s">
        <v>8</v>
      </c>
      <c r="W4" s="430"/>
      <c r="X4" s="424" t="s">
        <v>9</v>
      </c>
      <c r="Y4" s="403" t="s">
        <v>533</v>
      </c>
      <c r="Z4" s="404"/>
      <c r="AA4" s="404"/>
      <c r="AB4" s="404"/>
      <c r="AC4" s="404"/>
      <c r="AD4" s="404"/>
      <c r="AE4" s="404"/>
      <c r="AF4" s="405"/>
      <c r="AG4" s="403" t="s">
        <v>533</v>
      </c>
      <c r="AH4" s="404"/>
      <c r="AI4" s="404"/>
      <c r="AJ4" s="404"/>
      <c r="AK4" s="404"/>
      <c r="AL4" s="404"/>
      <c r="AM4" s="404"/>
      <c r="AN4" s="404"/>
      <c r="AO4" s="434" t="s">
        <v>533</v>
      </c>
      <c r="AP4" s="434"/>
      <c r="AQ4" s="434"/>
      <c r="AR4" s="434"/>
      <c r="AS4" s="434"/>
      <c r="AT4" s="434"/>
      <c r="AU4" s="434"/>
      <c r="AV4" s="434"/>
      <c r="AW4" s="203"/>
      <c r="AX4" s="203"/>
      <c r="AY4" s="203"/>
      <c r="AZ4" s="203"/>
      <c r="BA4" s="203"/>
      <c r="BB4" s="203"/>
      <c r="BC4" s="203"/>
      <c r="BD4" s="203"/>
      <c r="BE4" s="203"/>
      <c r="BF4" s="203"/>
      <c r="BG4" s="203"/>
      <c r="BH4" s="203"/>
      <c r="BI4" s="203"/>
      <c r="BJ4" s="203"/>
      <c r="BK4" s="203"/>
      <c r="BL4" s="203"/>
      <c r="BM4" s="203"/>
      <c r="BN4" s="203"/>
      <c r="BO4" s="203"/>
      <c r="BP4" s="203"/>
    </row>
    <row r="5" spans="1:75" s="206" customFormat="1" ht="30" x14ac:dyDescent="0.25">
      <c r="A5" s="406" t="s">
        <v>13</v>
      </c>
      <c r="B5" s="407"/>
      <c r="C5" s="408"/>
      <c r="D5" s="205" t="s">
        <v>14</v>
      </c>
      <c r="E5" s="406" t="s">
        <v>15</v>
      </c>
      <c r="F5" s="408"/>
      <c r="G5" s="406" t="s">
        <v>16</v>
      </c>
      <c r="H5" s="407"/>
      <c r="I5" s="408"/>
      <c r="J5" s="409" t="s">
        <v>17</v>
      </c>
      <c r="K5" s="409" t="s">
        <v>18</v>
      </c>
      <c r="L5" s="403"/>
      <c r="M5" s="404"/>
      <c r="N5" s="404"/>
      <c r="O5" s="404"/>
      <c r="P5" s="405"/>
      <c r="Q5" s="403"/>
      <c r="R5" s="404"/>
      <c r="S5" s="404"/>
      <c r="T5" s="404"/>
      <c r="U5" s="405"/>
      <c r="V5" s="431"/>
      <c r="W5" s="432"/>
      <c r="X5" s="425"/>
      <c r="Y5" s="406" t="s">
        <v>534</v>
      </c>
      <c r="Z5" s="407"/>
      <c r="AA5" s="407"/>
      <c r="AB5" s="411"/>
      <c r="AC5" s="412" t="s">
        <v>535</v>
      </c>
      <c r="AD5" s="407"/>
      <c r="AE5" s="407"/>
      <c r="AF5" s="408"/>
      <c r="AG5" s="406" t="s">
        <v>536</v>
      </c>
      <c r="AH5" s="407"/>
      <c r="AI5" s="407"/>
      <c r="AJ5" s="411"/>
      <c r="AK5" s="412" t="s">
        <v>537</v>
      </c>
      <c r="AL5" s="407"/>
      <c r="AM5" s="407"/>
      <c r="AN5" s="407"/>
      <c r="AO5" s="434" t="s">
        <v>538</v>
      </c>
      <c r="AP5" s="434"/>
      <c r="AQ5" s="434"/>
      <c r="AR5" s="434"/>
      <c r="AS5" s="434" t="s">
        <v>539</v>
      </c>
      <c r="AT5" s="434"/>
      <c r="AU5" s="434"/>
      <c r="AV5" s="434"/>
      <c r="AW5" s="203"/>
      <c r="AX5" s="203"/>
      <c r="AY5" s="203"/>
      <c r="AZ5" s="203"/>
      <c r="BA5" s="203"/>
      <c r="BB5" s="203"/>
      <c r="BC5" s="203"/>
      <c r="BD5" s="203"/>
      <c r="BE5" s="203"/>
      <c r="BF5" s="203"/>
      <c r="BG5" s="203"/>
      <c r="BH5" s="203"/>
      <c r="BI5" s="203"/>
      <c r="BJ5" s="203"/>
      <c r="BK5" s="203"/>
      <c r="BL5" s="203"/>
      <c r="BM5" s="203"/>
      <c r="BN5" s="203"/>
      <c r="BO5" s="203"/>
      <c r="BP5" s="203"/>
    </row>
    <row r="6" spans="1:75" s="204" customFormat="1" ht="30" x14ac:dyDescent="0.25">
      <c r="A6" s="12" t="s">
        <v>21</v>
      </c>
      <c r="B6" s="12" t="s">
        <v>22</v>
      </c>
      <c r="C6" s="12" t="s">
        <v>23</v>
      </c>
      <c r="D6" s="12" t="s">
        <v>24</v>
      </c>
      <c r="E6" s="12" t="s">
        <v>25</v>
      </c>
      <c r="F6" s="12" t="s">
        <v>26</v>
      </c>
      <c r="G6" s="12" t="s">
        <v>27</v>
      </c>
      <c r="H6" s="12" t="s">
        <v>28</v>
      </c>
      <c r="I6" s="12" t="s">
        <v>29</v>
      </c>
      <c r="J6" s="410"/>
      <c r="K6" s="410"/>
      <c r="L6" s="12" t="s">
        <v>6</v>
      </c>
      <c r="M6" s="12" t="s">
        <v>30</v>
      </c>
      <c r="N6" s="12" t="s">
        <v>31</v>
      </c>
      <c r="O6" s="12" t="s">
        <v>32</v>
      </c>
      <c r="P6" s="12" t="s">
        <v>33</v>
      </c>
      <c r="Q6" s="12" t="s">
        <v>7</v>
      </c>
      <c r="R6" s="12" t="s">
        <v>34</v>
      </c>
      <c r="S6" s="12" t="s">
        <v>31</v>
      </c>
      <c r="T6" s="12" t="s">
        <v>32</v>
      </c>
      <c r="U6" s="12" t="s">
        <v>35</v>
      </c>
      <c r="V6" s="207" t="s">
        <v>36</v>
      </c>
      <c r="W6" s="207" t="s">
        <v>37</v>
      </c>
      <c r="X6" s="12" t="s">
        <v>38</v>
      </c>
      <c r="Y6" s="12" t="s">
        <v>39</v>
      </c>
      <c r="Z6" s="12" t="s">
        <v>40</v>
      </c>
      <c r="AA6" s="12" t="s">
        <v>41</v>
      </c>
      <c r="AB6" s="12" t="s">
        <v>42</v>
      </c>
      <c r="AC6" s="12" t="s">
        <v>39</v>
      </c>
      <c r="AD6" s="12" t="s">
        <v>40</v>
      </c>
      <c r="AE6" s="12" t="s">
        <v>41</v>
      </c>
      <c r="AF6" s="12" t="s">
        <v>42</v>
      </c>
      <c r="AG6" s="12" t="s">
        <v>39</v>
      </c>
      <c r="AH6" s="12" t="s">
        <v>40</v>
      </c>
      <c r="AI6" s="12" t="s">
        <v>41</v>
      </c>
      <c r="AJ6" s="12" t="s">
        <v>42</v>
      </c>
      <c r="AK6" s="12" t="s">
        <v>39</v>
      </c>
      <c r="AL6" s="12" t="s">
        <v>40</v>
      </c>
      <c r="AM6" s="12" t="s">
        <v>41</v>
      </c>
      <c r="AN6" s="208" t="s">
        <v>42</v>
      </c>
      <c r="AO6" s="209" t="s">
        <v>39</v>
      </c>
      <c r="AP6" s="209" t="s">
        <v>40</v>
      </c>
      <c r="AQ6" s="209" t="s">
        <v>41</v>
      </c>
      <c r="AR6" s="209" t="s">
        <v>42</v>
      </c>
      <c r="AS6" s="209" t="s">
        <v>39</v>
      </c>
      <c r="AT6" s="209" t="s">
        <v>40</v>
      </c>
      <c r="AU6" s="209" t="s">
        <v>41</v>
      </c>
      <c r="AV6" s="209" t="s">
        <v>42</v>
      </c>
      <c r="AW6" s="203"/>
      <c r="AX6" s="203"/>
      <c r="AY6" s="203"/>
      <c r="AZ6" s="203"/>
      <c r="BA6" s="203"/>
      <c r="BB6" s="203"/>
      <c r="BC6" s="203"/>
      <c r="BD6" s="203"/>
      <c r="BE6" s="203"/>
      <c r="BF6" s="203"/>
      <c r="BG6" s="203"/>
      <c r="BH6" s="203"/>
      <c r="BI6" s="203"/>
      <c r="BJ6" s="203"/>
      <c r="BK6" s="203"/>
      <c r="BL6" s="203"/>
      <c r="BM6" s="203"/>
      <c r="BN6" s="203"/>
      <c r="BO6" s="203"/>
      <c r="BP6" s="203"/>
    </row>
    <row r="7" spans="1:75" s="215" customFormat="1" ht="168" customHeight="1" x14ac:dyDescent="0.25">
      <c r="A7" s="433" t="s">
        <v>43</v>
      </c>
      <c r="B7" s="433" t="s">
        <v>44</v>
      </c>
      <c r="C7" s="433" t="s">
        <v>45</v>
      </c>
      <c r="D7" s="433" t="s">
        <v>540</v>
      </c>
      <c r="E7" s="433" t="s">
        <v>524</v>
      </c>
      <c r="F7" s="433" t="s">
        <v>525</v>
      </c>
      <c r="G7" s="444" t="s">
        <v>377</v>
      </c>
      <c r="H7" s="433" t="s">
        <v>541</v>
      </c>
      <c r="I7" s="433" t="s">
        <v>542</v>
      </c>
      <c r="J7" s="433" t="s">
        <v>543</v>
      </c>
      <c r="K7" s="433" t="s">
        <v>543</v>
      </c>
      <c r="L7" s="435" t="s">
        <v>544</v>
      </c>
      <c r="M7" s="435" t="s">
        <v>544</v>
      </c>
      <c r="N7" s="435" t="s">
        <v>56</v>
      </c>
      <c r="O7" s="435"/>
      <c r="P7" s="439">
        <v>3610</v>
      </c>
      <c r="Q7" s="210" t="s">
        <v>545</v>
      </c>
      <c r="R7" s="210" t="s">
        <v>546</v>
      </c>
      <c r="S7" s="210" t="s">
        <v>56</v>
      </c>
      <c r="T7" s="210"/>
      <c r="U7" s="211">
        <v>10</v>
      </c>
      <c r="V7" s="440">
        <v>295199874</v>
      </c>
      <c r="W7" s="440">
        <v>664924547</v>
      </c>
      <c r="X7" s="435" t="s">
        <v>547</v>
      </c>
      <c r="Y7" s="441">
        <v>106</v>
      </c>
      <c r="Z7" s="442">
        <v>3610</v>
      </c>
      <c r="AA7" s="443">
        <f>Y7/Z7</f>
        <v>2.9362880886426593E-2</v>
      </c>
      <c r="AB7" s="445" t="s">
        <v>548</v>
      </c>
      <c r="AC7" s="212">
        <v>8</v>
      </c>
      <c r="AD7" s="212">
        <v>10</v>
      </c>
      <c r="AE7" s="310">
        <f t="shared" ref="AE7:AE12" si="0">AC7/AD7</f>
        <v>0.8</v>
      </c>
      <c r="AF7" s="212" t="s">
        <v>549</v>
      </c>
      <c r="AG7" s="436">
        <v>711</v>
      </c>
      <c r="AH7" s="445">
        <v>3610</v>
      </c>
      <c r="AI7" s="448">
        <f>AG7/AH7</f>
        <v>0.19695290858725761</v>
      </c>
      <c r="AJ7" s="445" t="s">
        <v>550</v>
      </c>
      <c r="AK7" s="212">
        <v>10</v>
      </c>
      <c r="AL7" s="212">
        <v>10</v>
      </c>
      <c r="AM7" s="213">
        <f t="shared" ref="AM7:AM12" si="1">AK7/AL7</f>
        <v>1</v>
      </c>
      <c r="AN7" s="214" t="s">
        <v>551</v>
      </c>
      <c r="AO7" s="451">
        <v>1173</v>
      </c>
      <c r="AP7" s="452">
        <v>3610</v>
      </c>
      <c r="AQ7" s="443">
        <f>AO7/AP7</f>
        <v>0.32493074792243765</v>
      </c>
      <c r="AR7" s="442" t="s">
        <v>552</v>
      </c>
      <c r="AS7" s="212">
        <v>10</v>
      </c>
      <c r="AT7" s="212">
        <v>10</v>
      </c>
      <c r="AU7" s="213">
        <f t="shared" ref="AU7:AU12" si="2">AS7/AT7</f>
        <v>1</v>
      </c>
      <c r="AV7" s="212" t="s">
        <v>553</v>
      </c>
      <c r="AW7"/>
      <c r="AX7"/>
      <c r="AY7"/>
      <c r="AZ7"/>
      <c r="BA7"/>
      <c r="BB7"/>
      <c r="BC7"/>
      <c r="BD7"/>
      <c r="BE7"/>
      <c r="BF7"/>
      <c r="BG7"/>
      <c r="BH7"/>
      <c r="BI7"/>
      <c r="BJ7"/>
      <c r="BK7"/>
      <c r="BL7"/>
      <c r="BM7"/>
      <c r="BN7"/>
      <c r="BO7"/>
      <c r="BP7"/>
      <c r="BQ7"/>
      <c r="BR7"/>
      <c r="BS7"/>
      <c r="BT7"/>
      <c r="BU7"/>
      <c r="BV7"/>
      <c r="BW7"/>
    </row>
    <row r="8" spans="1:75" s="215" customFormat="1" ht="153" customHeight="1" x14ac:dyDescent="0.25">
      <c r="A8" s="433"/>
      <c r="B8" s="433"/>
      <c r="C8" s="433"/>
      <c r="D8" s="433"/>
      <c r="E8" s="433"/>
      <c r="F8" s="433"/>
      <c r="G8" s="444"/>
      <c r="H8" s="433"/>
      <c r="I8" s="433"/>
      <c r="J8" s="433"/>
      <c r="K8" s="433"/>
      <c r="L8" s="435"/>
      <c r="M8" s="435"/>
      <c r="N8" s="435"/>
      <c r="O8" s="435"/>
      <c r="P8" s="439"/>
      <c r="Q8" s="216" t="s">
        <v>554</v>
      </c>
      <c r="R8" s="216" t="s">
        <v>555</v>
      </c>
      <c r="S8" s="216" t="s">
        <v>56</v>
      </c>
      <c r="T8" s="216"/>
      <c r="U8" s="217">
        <v>1100</v>
      </c>
      <c r="V8" s="440"/>
      <c r="W8" s="440"/>
      <c r="X8" s="435"/>
      <c r="Y8" s="441"/>
      <c r="Z8" s="442"/>
      <c r="AA8" s="443"/>
      <c r="AB8" s="446"/>
      <c r="AC8" s="218">
        <v>57</v>
      </c>
      <c r="AD8" s="216">
        <v>1100</v>
      </c>
      <c r="AE8" s="270">
        <f t="shared" si="0"/>
        <v>5.1818181818181819E-2</v>
      </c>
      <c r="AF8" s="216" t="s">
        <v>556</v>
      </c>
      <c r="AG8" s="437"/>
      <c r="AH8" s="446"/>
      <c r="AI8" s="449"/>
      <c r="AJ8" s="446"/>
      <c r="AK8" s="220">
        <f>AC8+228</f>
        <v>285</v>
      </c>
      <c r="AL8" s="221">
        <v>1100</v>
      </c>
      <c r="AM8" s="219">
        <f t="shared" si="1"/>
        <v>0.25909090909090909</v>
      </c>
      <c r="AN8" s="222" t="s">
        <v>557</v>
      </c>
      <c r="AO8" s="451"/>
      <c r="AP8" s="452"/>
      <c r="AQ8" s="443"/>
      <c r="AR8" s="442"/>
      <c r="AS8" s="220">
        <v>360</v>
      </c>
      <c r="AT8" s="221">
        <v>1100</v>
      </c>
      <c r="AU8" s="219">
        <f t="shared" si="2"/>
        <v>0.32727272727272727</v>
      </c>
      <c r="AV8" s="219" t="s">
        <v>558</v>
      </c>
      <c r="AW8" s="223"/>
      <c r="AX8" s="223"/>
      <c r="AY8"/>
      <c r="AZ8"/>
      <c r="BA8"/>
      <c r="BB8"/>
      <c r="BC8"/>
      <c r="BD8"/>
      <c r="BE8"/>
      <c r="BF8"/>
      <c r="BG8"/>
      <c r="BH8"/>
      <c r="BI8"/>
      <c r="BJ8"/>
      <c r="BK8"/>
      <c r="BL8"/>
      <c r="BM8"/>
      <c r="BN8"/>
      <c r="BO8"/>
      <c r="BP8"/>
      <c r="BQ8"/>
      <c r="BR8"/>
      <c r="BS8"/>
      <c r="BT8"/>
      <c r="BU8"/>
      <c r="BV8"/>
      <c r="BW8"/>
    </row>
    <row r="9" spans="1:75" s="215" customFormat="1" ht="217.5" customHeight="1" x14ac:dyDescent="0.25">
      <c r="A9" s="433"/>
      <c r="B9" s="433"/>
      <c r="C9" s="433"/>
      <c r="D9" s="433"/>
      <c r="E9" s="433"/>
      <c r="F9" s="433"/>
      <c r="G9" s="444"/>
      <c r="H9" s="433"/>
      <c r="I9" s="433"/>
      <c r="J9" s="433"/>
      <c r="K9" s="433"/>
      <c r="L9" s="435"/>
      <c r="M9" s="435"/>
      <c r="N9" s="435"/>
      <c r="O9" s="435"/>
      <c r="P9" s="439"/>
      <c r="Q9" s="210" t="s">
        <v>559</v>
      </c>
      <c r="R9" s="210" t="s">
        <v>560</v>
      </c>
      <c r="S9" s="210" t="s">
        <v>56</v>
      </c>
      <c r="T9" s="210"/>
      <c r="U9" s="211">
        <v>2510</v>
      </c>
      <c r="V9" s="440"/>
      <c r="W9" s="440"/>
      <c r="X9" s="435"/>
      <c r="Y9" s="441"/>
      <c r="Z9" s="442"/>
      <c r="AA9" s="443"/>
      <c r="AB9" s="446"/>
      <c r="AC9" s="210">
        <v>49</v>
      </c>
      <c r="AD9" s="210">
        <v>2510</v>
      </c>
      <c r="AE9" s="311">
        <f t="shared" si="0"/>
        <v>1.9521912350597609E-2</v>
      </c>
      <c r="AF9" s="210" t="s">
        <v>561</v>
      </c>
      <c r="AG9" s="437"/>
      <c r="AH9" s="446"/>
      <c r="AI9" s="449"/>
      <c r="AJ9" s="446"/>
      <c r="AK9" s="212">
        <f>AC9+377</f>
        <v>426</v>
      </c>
      <c r="AL9" s="212">
        <v>2510</v>
      </c>
      <c r="AM9" s="224">
        <f t="shared" si="1"/>
        <v>0.1697211155378486</v>
      </c>
      <c r="AN9" s="225" t="s">
        <v>562</v>
      </c>
      <c r="AO9" s="451"/>
      <c r="AP9" s="452"/>
      <c r="AQ9" s="443"/>
      <c r="AR9" s="442"/>
      <c r="AS9" s="212">
        <v>813</v>
      </c>
      <c r="AT9" s="212">
        <v>2510</v>
      </c>
      <c r="AU9" s="224">
        <f t="shared" si="2"/>
        <v>0.32390438247011955</v>
      </c>
      <c r="AV9" s="216" t="s">
        <v>563</v>
      </c>
      <c r="AW9" s="223"/>
      <c r="AX9"/>
      <c r="AY9"/>
      <c r="AZ9"/>
      <c r="BA9"/>
      <c r="BB9"/>
      <c r="BC9"/>
      <c r="BD9"/>
      <c r="BE9"/>
      <c r="BF9"/>
      <c r="BG9"/>
      <c r="BH9"/>
      <c r="BI9"/>
      <c r="BJ9"/>
      <c r="BK9"/>
      <c r="BL9"/>
      <c r="BM9"/>
      <c r="BN9"/>
      <c r="BO9"/>
      <c r="BP9"/>
      <c r="BQ9"/>
      <c r="BR9"/>
      <c r="BS9"/>
      <c r="BT9"/>
      <c r="BU9"/>
      <c r="BV9"/>
      <c r="BW9"/>
    </row>
    <row r="10" spans="1:75" s="215" customFormat="1" ht="189.75" customHeight="1" x14ac:dyDescent="0.25">
      <c r="A10" s="433"/>
      <c r="B10" s="433"/>
      <c r="C10" s="433"/>
      <c r="D10" s="433"/>
      <c r="E10" s="433"/>
      <c r="F10" s="433"/>
      <c r="G10" s="444"/>
      <c r="H10" s="433"/>
      <c r="I10" s="433"/>
      <c r="J10" s="433"/>
      <c r="K10" s="433"/>
      <c r="L10" s="435"/>
      <c r="M10" s="435"/>
      <c r="N10" s="435"/>
      <c r="O10" s="226"/>
      <c r="P10" s="439"/>
      <c r="Q10" s="216" t="s">
        <v>564</v>
      </c>
      <c r="R10" s="216" t="s">
        <v>565</v>
      </c>
      <c r="S10" s="216" t="s">
        <v>56</v>
      </c>
      <c r="T10" s="216"/>
      <c r="U10" s="227">
        <v>1</v>
      </c>
      <c r="V10" s="440"/>
      <c r="W10" s="440"/>
      <c r="X10" s="435"/>
      <c r="Y10" s="441"/>
      <c r="Z10" s="442"/>
      <c r="AA10" s="443"/>
      <c r="AB10" s="447"/>
      <c r="AC10" s="221">
        <v>0</v>
      </c>
      <c r="AD10" s="221">
        <v>1</v>
      </c>
      <c r="AE10" s="312">
        <f t="shared" si="0"/>
        <v>0</v>
      </c>
      <c r="AF10" s="221" t="s">
        <v>566</v>
      </c>
      <c r="AG10" s="438"/>
      <c r="AH10" s="447"/>
      <c r="AI10" s="450"/>
      <c r="AJ10" s="447"/>
      <c r="AK10" s="221">
        <v>0</v>
      </c>
      <c r="AL10" s="221">
        <v>1</v>
      </c>
      <c r="AM10" s="228">
        <v>0.1</v>
      </c>
      <c r="AN10" s="229" t="s">
        <v>567</v>
      </c>
      <c r="AO10" s="451"/>
      <c r="AP10" s="452"/>
      <c r="AQ10" s="443"/>
      <c r="AR10" s="442"/>
      <c r="AS10" s="221">
        <v>0</v>
      </c>
      <c r="AT10" s="221">
        <v>1</v>
      </c>
      <c r="AU10" s="228">
        <v>0.1</v>
      </c>
      <c r="AV10" s="221" t="s">
        <v>568</v>
      </c>
      <c r="AW10"/>
      <c r="AX10"/>
      <c r="AY10"/>
      <c r="AZ10"/>
      <c r="BA10"/>
      <c r="BB10"/>
      <c r="BC10"/>
      <c r="BD10"/>
      <c r="BE10"/>
      <c r="BF10"/>
      <c r="BG10"/>
      <c r="BH10"/>
      <c r="BI10"/>
      <c r="BJ10"/>
      <c r="BK10"/>
      <c r="BL10"/>
      <c r="BM10"/>
      <c r="BN10"/>
      <c r="BO10"/>
      <c r="BP10"/>
      <c r="BQ10"/>
      <c r="BR10"/>
      <c r="BS10"/>
      <c r="BT10"/>
      <c r="BU10"/>
      <c r="BV10"/>
      <c r="BW10"/>
    </row>
    <row r="11" spans="1:75" s="215" customFormat="1" ht="201.75" customHeight="1" x14ac:dyDescent="0.25">
      <c r="A11" s="433"/>
      <c r="B11" s="433"/>
      <c r="C11" s="433"/>
      <c r="D11" s="433"/>
      <c r="E11" s="433"/>
      <c r="F11" s="433"/>
      <c r="G11" s="444"/>
      <c r="H11" s="433"/>
      <c r="I11" s="433"/>
      <c r="J11" s="433"/>
      <c r="K11" s="433"/>
      <c r="L11" s="216" t="s">
        <v>569</v>
      </c>
      <c r="M11" s="216" t="s">
        <v>570</v>
      </c>
      <c r="N11" s="216" t="s">
        <v>74</v>
      </c>
      <c r="O11" s="216"/>
      <c r="P11" s="230">
        <v>55</v>
      </c>
      <c r="Q11" s="210" t="s">
        <v>571</v>
      </c>
      <c r="R11" s="210" t="s">
        <v>572</v>
      </c>
      <c r="S11" s="210" t="s">
        <v>56</v>
      </c>
      <c r="T11" s="210"/>
      <c r="U11" s="211">
        <v>400</v>
      </c>
      <c r="V11" s="231">
        <v>185740681</v>
      </c>
      <c r="W11" s="440"/>
      <c r="X11" s="435"/>
      <c r="Y11" s="232">
        <v>0.495</v>
      </c>
      <c r="Z11" s="232">
        <v>0.55000000000000004</v>
      </c>
      <c r="AA11" s="228">
        <f>Y11/Z11</f>
        <v>0.89999999999999991</v>
      </c>
      <c r="AB11" s="233" t="s">
        <v>573</v>
      </c>
      <c r="AC11" s="210">
        <v>16</v>
      </c>
      <c r="AD11" s="212">
        <v>400</v>
      </c>
      <c r="AE11" s="234">
        <f t="shared" si="0"/>
        <v>0.04</v>
      </c>
      <c r="AF11" s="235" t="s">
        <v>574</v>
      </c>
      <c r="AG11" s="228">
        <f>61%</f>
        <v>0.61</v>
      </c>
      <c r="AH11" s="228">
        <v>0.55000000000000004</v>
      </c>
      <c r="AI11" s="228">
        <f>AG11/AH11</f>
        <v>1.1090909090909089</v>
      </c>
      <c r="AJ11" s="233" t="s">
        <v>575</v>
      </c>
      <c r="AK11" s="212">
        <f>AC11+66</f>
        <v>82</v>
      </c>
      <c r="AL11" s="212">
        <v>400</v>
      </c>
      <c r="AM11" s="234">
        <f t="shared" si="1"/>
        <v>0.20499999999999999</v>
      </c>
      <c r="AN11" s="236" t="s">
        <v>575</v>
      </c>
      <c r="AO11" s="228">
        <v>0.71</v>
      </c>
      <c r="AP11" s="228">
        <v>0.55000000000000004</v>
      </c>
      <c r="AQ11" s="228">
        <f>AO11/AP11</f>
        <v>1.2909090909090908</v>
      </c>
      <c r="AR11" s="210" t="s">
        <v>576</v>
      </c>
      <c r="AS11" s="212">
        <v>110</v>
      </c>
      <c r="AT11" s="212">
        <v>400</v>
      </c>
      <c r="AU11" s="237">
        <f t="shared" si="2"/>
        <v>0.27500000000000002</v>
      </c>
      <c r="AV11" s="233" t="s">
        <v>577</v>
      </c>
      <c r="AW11" s="223"/>
      <c r="AX11"/>
      <c r="AY11"/>
      <c r="AZ11"/>
      <c r="BA11"/>
      <c r="BB11"/>
      <c r="BC11"/>
      <c r="BD11"/>
      <c r="BE11"/>
      <c r="BF11"/>
      <c r="BG11"/>
      <c r="BH11"/>
      <c r="BI11"/>
      <c r="BJ11"/>
      <c r="BK11"/>
      <c r="BL11"/>
      <c r="BM11"/>
      <c r="BN11"/>
      <c r="BO11"/>
      <c r="BP11"/>
      <c r="BQ11"/>
      <c r="BR11"/>
      <c r="BS11"/>
      <c r="BT11"/>
      <c r="BU11"/>
      <c r="BV11"/>
      <c r="BW11"/>
    </row>
    <row r="12" spans="1:75" s="215" customFormat="1" ht="161.25" customHeight="1" x14ac:dyDescent="0.25">
      <c r="A12" s="433"/>
      <c r="B12" s="433"/>
      <c r="C12" s="433"/>
      <c r="D12" s="433"/>
      <c r="E12" s="433"/>
      <c r="F12" s="433"/>
      <c r="G12" s="444"/>
      <c r="H12" s="433"/>
      <c r="I12" s="433"/>
      <c r="J12" s="433"/>
      <c r="K12" s="433"/>
      <c r="L12" s="210" t="s">
        <v>578</v>
      </c>
      <c r="M12" s="210" t="s">
        <v>579</v>
      </c>
      <c r="N12" s="210" t="s">
        <v>74</v>
      </c>
      <c r="O12" s="210"/>
      <c r="P12" s="238">
        <v>100</v>
      </c>
      <c r="Q12" s="216" t="s">
        <v>580</v>
      </c>
      <c r="R12" s="216" t="s">
        <v>581</v>
      </c>
      <c r="S12" s="216" t="s">
        <v>56</v>
      </c>
      <c r="T12" s="216"/>
      <c r="U12" s="227">
        <v>10</v>
      </c>
      <c r="V12" s="239">
        <v>120124000</v>
      </c>
      <c r="W12" s="440"/>
      <c r="X12" s="435"/>
      <c r="Y12" s="221">
        <v>4</v>
      </c>
      <c r="Z12" s="221">
        <v>10</v>
      </c>
      <c r="AA12" s="228">
        <f>Y12/Z12</f>
        <v>0.4</v>
      </c>
      <c r="AB12" s="221" t="s">
        <v>582</v>
      </c>
      <c r="AC12" s="240">
        <v>1</v>
      </c>
      <c r="AD12" s="221">
        <v>10</v>
      </c>
      <c r="AE12" s="312">
        <f t="shared" si="0"/>
        <v>0.1</v>
      </c>
      <c r="AF12" s="221" t="s">
        <v>583</v>
      </c>
      <c r="AG12" s="221">
        <v>6</v>
      </c>
      <c r="AH12" s="221">
        <v>10</v>
      </c>
      <c r="AI12" s="228">
        <f>AG12/AH12</f>
        <v>0.6</v>
      </c>
      <c r="AJ12" s="221" t="s">
        <v>584</v>
      </c>
      <c r="AK12" s="240">
        <v>4</v>
      </c>
      <c r="AL12" s="221">
        <v>10</v>
      </c>
      <c r="AM12" s="228">
        <f t="shared" si="1"/>
        <v>0.4</v>
      </c>
      <c r="AN12" s="229" t="s">
        <v>585</v>
      </c>
      <c r="AO12" s="221">
        <v>14</v>
      </c>
      <c r="AP12" s="221">
        <v>10</v>
      </c>
      <c r="AQ12" s="241">
        <f>AO12/AP12</f>
        <v>1.4</v>
      </c>
      <c r="AR12" s="221" t="s">
        <v>586</v>
      </c>
      <c r="AS12" s="240">
        <v>6</v>
      </c>
      <c r="AT12" s="221">
        <v>10</v>
      </c>
      <c r="AU12" s="228">
        <f t="shared" si="2"/>
        <v>0.6</v>
      </c>
      <c r="AV12" s="221" t="s">
        <v>587</v>
      </c>
      <c r="AW12" s="223"/>
      <c r="AX12"/>
      <c r="AY12"/>
      <c r="AZ12"/>
      <c r="BA12"/>
      <c r="BB12"/>
      <c r="BC12"/>
      <c r="BD12"/>
      <c r="BE12"/>
      <c r="BF12"/>
      <c r="BG12"/>
      <c r="BH12"/>
      <c r="BI12"/>
      <c r="BJ12"/>
      <c r="BK12"/>
      <c r="BL12"/>
      <c r="BM12"/>
      <c r="BN12"/>
      <c r="BO12"/>
      <c r="BP12"/>
      <c r="BQ12"/>
      <c r="BR12"/>
      <c r="BS12"/>
      <c r="BT12"/>
      <c r="BU12"/>
      <c r="BV12"/>
      <c r="BW12"/>
    </row>
    <row r="14" spans="1:75" x14ac:dyDescent="0.25">
      <c r="V14" s="242"/>
      <c r="AE14" s="223"/>
    </row>
    <row r="15" spans="1:75" ht="48.75" customHeight="1" x14ac:dyDescent="0.25">
      <c r="Y15" s="388" t="s">
        <v>99</v>
      </c>
      <c r="Z15" s="388"/>
      <c r="AA15" s="58">
        <f>AVERAGE(AA7:AA12)</f>
        <v>0.44312096029547554</v>
      </c>
      <c r="AB15" s="59"/>
      <c r="AC15" s="388" t="s">
        <v>100</v>
      </c>
      <c r="AD15" s="388"/>
      <c r="AE15" s="58">
        <f>AVERAGE(AE7:AE12)</f>
        <v>0.16855668236146326</v>
      </c>
      <c r="AG15" s="388" t="s">
        <v>99</v>
      </c>
      <c r="AH15" s="388"/>
      <c r="AI15" s="58">
        <f>AVERAGE(AI7:AI12)</f>
        <v>0.63534793922605548</v>
      </c>
      <c r="AJ15" s="59"/>
      <c r="AK15" s="388" t="s">
        <v>100</v>
      </c>
      <c r="AL15" s="388"/>
      <c r="AM15" s="58">
        <f>AVERAGE(AM7:AM12)</f>
        <v>0.35563533743812631</v>
      </c>
      <c r="AO15" s="388" t="s">
        <v>99</v>
      </c>
      <c r="AP15" s="388"/>
      <c r="AQ15" s="58">
        <f>AVERAGE(AQ7:AQ12)</f>
        <v>1.0052799462771762</v>
      </c>
      <c r="AR15" s="59"/>
      <c r="AS15" s="388" t="s">
        <v>100</v>
      </c>
      <c r="AT15" s="388"/>
      <c r="AU15" s="58">
        <f>AVERAGE(AU7:AU12)</f>
        <v>0.43769618495714119</v>
      </c>
    </row>
    <row r="18" spans="28:28" x14ac:dyDescent="0.25">
      <c r="AB18" s="243"/>
    </row>
    <row r="19" spans="28:28" x14ac:dyDescent="0.25">
      <c r="AB19" s="244"/>
    </row>
  </sheetData>
  <sheetProtection algorithmName="SHA-512" hashValue="f3jUDf4VlNvn4D6YXXzkqHfMdXIr+hQ7ahcv/YMqoK0J2SZsMkeaK1ZptciN9kpNx2EliqMy8Iqv6cpmI6QYJg==" saltValue="h3zMYIwhVeAUmdtsi6A9sQ==" spinCount="100000" sheet="1" objects="1" scenarios="1" selectLockedCells="1" selectUnlockedCells="1"/>
  <mergeCells count="57">
    <mergeCell ref="AS15:AT15"/>
    <mergeCell ref="Y15:Z15"/>
    <mergeCell ref="AC15:AD15"/>
    <mergeCell ref="AG15:AH15"/>
    <mergeCell ref="AK15:AL15"/>
    <mergeCell ref="AO15:AP15"/>
    <mergeCell ref="AB7:AB10"/>
    <mergeCell ref="AR7:AR10"/>
    <mergeCell ref="AH7:AH10"/>
    <mergeCell ref="AI7:AI10"/>
    <mergeCell ref="AJ7:AJ10"/>
    <mergeCell ref="AO7:AO10"/>
    <mergeCell ref="AP7:AP10"/>
    <mergeCell ref="AQ7:AQ10"/>
    <mergeCell ref="G7:G12"/>
    <mergeCell ref="H7:H12"/>
    <mergeCell ref="I7:I12"/>
    <mergeCell ref="J7:J12"/>
    <mergeCell ref="K7:K12"/>
    <mergeCell ref="L7:L10"/>
    <mergeCell ref="AG5:AJ5"/>
    <mergeCell ref="AK5:AN5"/>
    <mergeCell ref="AO5:AR5"/>
    <mergeCell ref="AS5:AV5"/>
    <mergeCell ref="AG7:AG10"/>
    <mergeCell ref="M7:M10"/>
    <mergeCell ref="N7:N10"/>
    <mergeCell ref="O7:O9"/>
    <mergeCell ref="P7:P10"/>
    <mergeCell ref="V7:V10"/>
    <mergeCell ref="W7:W12"/>
    <mergeCell ref="X7:X12"/>
    <mergeCell ref="Y7:Y10"/>
    <mergeCell ref="Z7:Z10"/>
    <mergeCell ref="AA7:AA10"/>
    <mergeCell ref="F7:F12"/>
    <mergeCell ref="Y4:AF4"/>
    <mergeCell ref="AG4:AN4"/>
    <mergeCell ref="AO4:AV4"/>
    <mergeCell ref="A5:C5"/>
    <mergeCell ref="E5:F5"/>
    <mergeCell ref="G5:I5"/>
    <mergeCell ref="J5:J6"/>
    <mergeCell ref="K5:K6"/>
    <mergeCell ref="Y5:AB5"/>
    <mergeCell ref="AC5:AF5"/>
    <mergeCell ref="A7:A12"/>
    <mergeCell ref="B7:B12"/>
    <mergeCell ref="C7:C12"/>
    <mergeCell ref="D7:D12"/>
    <mergeCell ref="E7:E12"/>
    <mergeCell ref="C1:X3"/>
    <mergeCell ref="A4:K4"/>
    <mergeCell ref="L4:P5"/>
    <mergeCell ref="Q4:U5"/>
    <mergeCell ref="V4:W5"/>
    <mergeCell ref="X4:X5"/>
  </mergeCells>
  <pageMargins left="0.7" right="0.7"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491E7-CB88-42AE-B0E8-81FD51FFE86D}">
  <sheetPr>
    <tabColor rgb="FFFF0000"/>
  </sheetPr>
  <dimension ref="A1:BP58"/>
  <sheetViews>
    <sheetView topLeftCell="AQ17" zoomScaleNormal="100" workbookViewId="0">
      <selection activeCell="AS17" sqref="AS17:AV18"/>
    </sheetView>
  </sheetViews>
  <sheetFormatPr baseColWidth="10" defaultColWidth="11.42578125" defaultRowHeight="22.5" customHeight="1" x14ac:dyDescent="0.25"/>
  <cols>
    <col min="1" max="1" width="22.42578125" style="94" customWidth="1"/>
    <col min="2" max="2" width="26.7109375" style="94" customWidth="1"/>
    <col min="3" max="3" width="23.85546875" style="94" customWidth="1"/>
    <col min="4" max="4" width="33.42578125" style="94" customWidth="1"/>
    <col min="5" max="5" width="43.42578125" style="94" bestFit="1" customWidth="1"/>
    <col min="6" max="6" width="17.140625" style="94" customWidth="1"/>
    <col min="7" max="7" width="26.7109375" style="94" customWidth="1"/>
    <col min="8" max="8" width="16.7109375" style="94" customWidth="1"/>
    <col min="9" max="9" width="17.28515625" style="94" customWidth="1"/>
    <col min="10" max="10" width="16.85546875" style="94" customWidth="1"/>
    <col min="11" max="11" width="15.85546875" style="94" customWidth="1"/>
    <col min="12" max="12" width="56.42578125" style="94" customWidth="1"/>
    <col min="13" max="13" width="28.7109375" style="94" customWidth="1"/>
    <col min="14" max="14" width="16.28515625" style="94" customWidth="1"/>
    <col min="15" max="15" width="9.42578125" style="94" customWidth="1"/>
    <col min="16" max="16" width="16.28515625" style="94" customWidth="1"/>
    <col min="17" max="17" width="87.140625" style="94" bestFit="1" customWidth="1"/>
    <col min="18" max="18" width="38.5703125" style="94" customWidth="1"/>
    <col min="19" max="19" width="17.140625" style="94" bestFit="1" customWidth="1"/>
    <col min="20" max="20" width="10.28515625" style="94" bestFit="1" customWidth="1"/>
    <col min="21" max="21" width="14.5703125" style="94" bestFit="1" customWidth="1"/>
    <col min="22" max="22" width="14.7109375" style="94" bestFit="1" customWidth="1"/>
    <col min="23" max="23" width="14.85546875" style="94" bestFit="1" customWidth="1"/>
    <col min="24" max="24" width="20.7109375" style="94" customWidth="1"/>
    <col min="25" max="25" width="24.28515625" style="94" customWidth="1"/>
    <col min="26" max="26" width="16" style="94" customWidth="1"/>
    <col min="27" max="27" width="21.85546875" style="94" customWidth="1"/>
    <col min="28" max="28" width="20.7109375" style="94" customWidth="1"/>
    <col min="29" max="29" width="14.85546875" style="94" customWidth="1"/>
    <col min="30" max="30" width="12.42578125" style="94" customWidth="1"/>
    <col min="31" max="31" width="21.85546875" style="94" customWidth="1"/>
    <col min="32" max="32" width="43" style="94" customWidth="1"/>
    <col min="33" max="34" width="11.42578125" style="94" customWidth="1"/>
    <col min="35" max="35" width="20.42578125" style="94" customWidth="1"/>
    <col min="36" max="36" width="27" style="94" customWidth="1"/>
    <col min="37" max="38" width="11.42578125" style="94" customWidth="1"/>
    <col min="39" max="39" width="21.140625" style="94" customWidth="1"/>
    <col min="40" max="40" width="54.7109375" style="94" customWidth="1"/>
    <col min="41" max="42" width="11.42578125" style="94"/>
    <col min="43" max="43" width="20.42578125" style="94" customWidth="1"/>
    <col min="44" max="44" width="27" style="94" customWidth="1"/>
    <col min="45" max="46" width="11.42578125" style="94"/>
    <col min="47" max="47" width="21.140625" style="94" customWidth="1"/>
    <col min="48" max="48" width="54.7109375" style="94" customWidth="1"/>
    <col min="49" max="68" width="11.42578125" style="319"/>
    <col min="69" max="16384" width="11.42578125" style="94"/>
  </cols>
  <sheetData>
    <row r="1" spans="1:68" s="1" customFormat="1" ht="15.75" x14ac:dyDescent="0.25">
      <c r="C1" s="413" t="s">
        <v>0</v>
      </c>
      <c r="D1" s="413"/>
      <c r="E1" s="413"/>
      <c r="F1" s="413"/>
      <c r="G1" s="413"/>
      <c r="H1" s="413"/>
      <c r="I1" s="413"/>
      <c r="J1" s="413"/>
      <c r="K1" s="413"/>
      <c r="L1" s="413"/>
      <c r="M1" s="413"/>
      <c r="N1" s="413"/>
      <c r="O1" s="413"/>
      <c r="P1" s="413"/>
      <c r="Q1" s="413"/>
      <c r="R1" s="413"/>
      <c r="S1" s="413"/>
      <c r="T1" s="413"/>
      <c r="U1" s="413"/>
      <c r="V1" s="413"/>
      <c r="W1" s="413"/>
      <c r="X1" s="413"/>
      <c r="AE1" s="2"/>
      <c r="AF1" s="3"/>
      <c r="AM1" s="2"/>
      <c r="AN1" s="3"/>
      <c r="AU1" s="4" t="s">
        <v>1</v>
      </c>
      <c r="AV1" s="5">
        <v>43458</v>
      </c>
      <c r="AW1" s="317"/>
      <c r="AX1" s="317"/>
      <c r="AY1" s="317"/>
      <c r="AZ1" s="317"/>
      <c r="BA1" s="317"/>
      <c r="BB1" s="317"/>
      <c r="BC1" s="317"/>
      <c r="BD1" s="317"/>
      <c r="BE1" s="317"/>
      <c r="BF1" s="317"/>
      <c r="BG1" s="317"/>
      <c r="BH1" s="317"/>
      <c r="BI1" s="317"/>
      <c r="BJ1" s="317"/>
      <c r="BK1" s="317"/>
      <c r="BL1" s="317"/>
      <c r="BM1" s="317"/>
      <c r="BN1" s="317"/>
      <c r="BO1" s="317"/>
      <c r="BP1" s="317"/>
    </row>
    <row r="2" spans="1:68" s="1" customFormat="1" ht="30" customHeight="1" x14ac:dyDescent="0.25">
      <c r="C2" s="413"/>
      <c r="D2" s="413"/>
      <c r="E2" s="413"/>
      <c r="F2" s="413"/>
      <c r="G2" s="413"/>
      <c r="H2" s="413"/>
      <c r="I2" s="413"/>
      <c r="J2" s="413"/>
      <c r="K2" s="413"/>
      <c r="L2" s="413"/>
      <c r="M2" s="413"/>
      <c r="N2" s="413"/>
      <c r="O2" s="413"/>
      <c r="P2" s="413"/>
      <c r="Q2" s="413"/>
      <c r="R2" s="413"/>
      <c r="S2" s="413"/>
      <c r="T2" s="413"/>
      <c r="U2" s="413"/>
      <c r="V2" s="413"/>
      <c r="W2" s="413"/>
      <c r="X2" s="413"/>
      <c r="AE2" s="2"/>
      <c r="AF2" s="2"/>
      <c r="AM2" s="2"/>
      <c r="AN2" s="2"/>
      <c r="AU2" s="4" t="s">
        <v>2</v>
      </c>
      <c r="AV2" s="4">
        <v>5</v>
      </c>
      <c r="AW2" s="317"/>
      <c r="AX2" s="317"/>
      <c r="AY2" s="317"/>
      <c r="AZ2" s="317"/>
      <c r="BA2" s="317"/>
      <c r="BB2" s="317"/>
      <c r="BC2" s="317"/>
      <c r="BD2" s="317"/>
      <c r="BE2" s="317"/>
      <c r="BF2" s="317"/>
      <c r="BG2" s="317"/>
      <c r="BH2" s="317"/>
      <c r="BI2" s="317"/>
      <c r="BJ2" s="317"/>
      <c r="BK2" s="317"/>
      <c r="BL2" s="317"/>
      <c r="BM2" s="317"/>
      <c r="BN2" s="317"/>
      <c r="BO2" s="317"/>
      <c r="BP2" s="317"/>
    </row>
    <row r="3" spans="1:68" s="1" customFormat="1" ht="29.25" customHeight="1" x14ac:dyDescent="0.25">
      <c r="C3" s="413"/>
      <c r="D3" s="413"/>
      <c r="E3" s="413"/>
      <c r="F3" s="413"/>
      <c r="G3" s="413"/>
      <c r="H3" s="413"/>
      <c r="I3" s="413"/>
      <c r="J3" s="413"/>
      <c r="K3" s="413"/>
      <c r="L3" s="413"/>
      <c r="M3" s="413"/>
      <c r="N3" s="413"/>
      <c r="O3" s="413"/>
      <c r="P3" s="413"/>
      <c r="Q3" s="413"/>
      <c r="R3" s="413"/>
      <c r="S3" s="413"/>
      <c r="T3" s="413"/>
      <c r="U3" s="413"/>
      <c r="V3" s="413"/>
      <c r="W3" s="413"/>
      <c r="X3" s="413"/>
      <c r="AE3" s="2"/>
      <c r="AF3" s="2"/>
      <c r="AM3" s="2"/>
      <c r="AN3" s="2"/>
      <c r="AU3" s="4" t="s">
        <v>3</v>
      </c>
      <c r="AV3" s="4" t="s">
        <v>4</v>
      </c>
      <c r="AW3" s="317"/>
      <c r="AX3" s="317"/>
      <c r="AY3" s="317"/>
      <c r="AZ3" s="317"/>
      <c r="BA3" s="317"/>
      <c r="BB3" s="317"/>
      <c r="BC3" s="317"/>
      <c r="BD3" s="317"/>
      <c r="BE3" s="317"/>
      <c r="BF3" s="317"/>
      <c r="BG3" s="317"/>
      <c r="BH3" s="317"/>
      <c r="BI3" s="317"/>
      <c r="BJ3" s="317"/>
      <c r="BK3" s="317"/>
      <c r="BL3" s="317"/>
      <c r="BM3" s="317"/>
      <c r="BN3" s="317"/>
      <c r="BO3" s="317"/>
      <c r="BP3" s="317"/>
    </row>
    <row r="4" spans="1:68" s="7" customFormat="1" ht="15" x14ac:dyDescent="0.25">
      <c r="A4" s="453" t="s">
        <v>5</v>
      </c>
      <c r="B4" s="454"/>
      <c r="C4" s="454"/>
      <c r="D4" s="454"/>
      <c r="E4" s="454"/>
      <c r="F4" s="454"/>
      <c r="G4" s="454"/>
      <c r="H4" s="454"/>
      <c r="I4" s="454"/>
      <c r="J4" s="454"/>
      <c r="K4" s="455"/>
      <c r="L4" s="456" t="s">
        <v>6</v>
      </c>
      <c r="M4" s="457"/>
      <c r="N4" s="457"/>
      <c r="O4" s="457"/>
      <c r="P4" s="458"/>
      <c r="Q4" s="456" t="s">
        <v>7</v>
      </c>
      <c r="R4" s="457"/>
      <c r="S4" s="457"/>
      <c r="T4" s="457"/>
      <c r="U4" s="458"/>
      <c r="V4" s="462" t="s">
        <v>8</v>
      </c>
      <c r="W4" s="463"/>
      <c r="X4" s="466" t="s">
        <v>9</v>
      </c>
      <c r="Y4" s="459" t="s">
        <v>10</v>
      </c>
      <c r="Z4" s="460"/>
      <c r="AA4" s="460"/>
      <c r="AB4" s="460"/>
      <c r="AC4" s="460"/>
      <c r="AD4" s="460"/>
      <c r="AE4" s="460"/>
      <c r="AF4" s="461"/>
      <c r="AG4" s="459" t="s">
        <v>11</v>
      </c>
      <c r="AH4" s="460"/>
      <c r="AI4" s="460"/>
      <c r="AJ4" s="460"/>
      <c r="AK4" s="460"/>
      <c r="AL4" s="460"/>
      <c r="AM4" s="460"/>
      <c r="AN4" s="461"/>
      <c r="AO4" s="459" t="s">
        <v>12</v>
      </c>
      <c r="AP4" s="460"/>
      <c r="AQ4" s="460"/>
      <c r="AR4" s="460"/>
      <c r="AS4" s="460"/>
      <c r="AT4" s="460"/>
      <c r="AU4" s="460"/>
      <c r="AV4" s="461"/>
      <c r="AW4" s="318"/>
      <c r="AX4" s="318"/>
      <c r="AY4" s="318"/>
      <c r="AZ4" s="318"/>
      <c r="BA4" s="318"/>
      <c r="BB4" s="318"/>
      <c r="BC4" s="318"/>
      <c r="BD4" s="318"/>
      <c r="BE4" s="318"/>
      <c r="BF4" s="318"/>
      <c r="BG4" s="318"/>
      <c r="BH4" s="318"/>
      <c r="BI4" s="318"/>
      <c r="BJ4" s="318"/>
      <c r="BK4" s="318"/>
      <c r="BL4" s="318"/>
      <c r="BM4" s="318"/>
      <c r="BN4" s="318"/>
      <c r="BO4" s="318"/>
      <c r="BP4" s="318"/>
    </row>
    <row r="5" spans="1:68" s="9" customFormat="1" ht="15" x14ac:dyDescent="0.25">
      <c r="A5" s="468" t="s">
        <v>13</v>
      </c>
      <c r="B5" s="469"/>
      <c r="C5" s="470"/>
      <c r="D5" s="8" t="s">
        <v>14</v>
      </c>
      <c r="E5" s="468" t="s">
        <v>15</v>
      </c>
      <c r="F5" s="470"/>
      <c r="G5" s="468" t="s">
        <v>16</v>
      </c>
      <c r="H5" s="469"/>
      <c r="I5" s="470"/>
      <c r="J5" s="471" t="s">
        <v>17</v>
      </c>
      <c r="K5" s="471" t="s">
        <v>18</v>
      </c>
      <c r="L5" s="459"/>
      <c r="M5" s="460"/>
      <c r="N5" s="460"/>
      <c r="O5" s="460"/>
      <c r="P5" s="461"/>
      <c r="Q5" s="459"/>
      <c r="R5" s="460"/>
      <c r="S5" s="460"/>
      <c r="T5" s="460"/>
      <c r="U5" s="461"/>
      <c r="V5" s="464"/>
      <c r="W5" s="465"/>
      <c r="X5" s="467"/>
      <c r="Y5" s="468" t="s">
        <v>19</v>
      </c>
      <c r="Z5" s="469"/>
      <c r="AA5" s="469"/>
      <c r="AB5" s="473"/>
      <c r="AC5" s="474" t="s">
        <v>20</v>
      </c>
      <c r="AD5" s="469"/>
      <c r="AE5" s="469"/>
      <c r="AF5" s="470"/>
      <c r="AG5" s="468" t="s">
        <v>19</v>
      </c>
      <c r="AH5" s="469"/>
      <c r="AI5" s="469"/>
      <c r="AJ5" s="473"/>
      <c r="AK5" s="474" t="s">
        <v>20</v>
      </c>
      <c r="AL5" s="469"/>
      <c r="AM5" s="469"/>
      <c r="AN5" s="470"/>
      <c r="AO5" s="468" t="s">
        <v>19</v>
      </c>
      <c r="AP5" s="469"/>
      <c r="AQ5" s="469"/>
      <c r="AR5" s="473"/>
      <c r="AS5" s="474" t="s">
        <v>20</v>
      </c>
      <c r="AT5" s="469"/>
      <c r="AU5" s="469"/>
      <c r="AV5" s="470"/>
      <c r="AW5" s="318"/>
      <c r="AX5" s="318"/>
      <c r="AY5" s="318"/>
      <c r="AZ5" s="318"/>
      <c r="BA5" s="318"/>
      <c r="BB5" s="318"/>
      <c r="BC5" s="318"/>
      <c r="BD5" s="318"/>
      <c r="BE5" s="318"/>
      <c r="BF5" s="318"/>
      <c r="BG5" s="318"/>
      <c r="BH5" s="318"/>
      <c r="BI5" s="318"/>
      <c r="BJ5" s="318"/>
      <c r="BK5" s="318"/>
      <c r="BL5" s="318"/>
      <c r="BM5" s="318"/>
      <c r="BN5" s="318"/>
      <c r="BO5" s="318"/>
      <c r="BP5" s="318"/>
    </row>
    <row r="6" spans="1:68" s="7" customFormat="1" ht="15" x14ac:dyDescent="0.25">
      <c r="A6" s="10" t="s">
        <v>21</v>
      </c>
      <c r="B6" s="10" t="s">
        <v>22</v>
      </c>
      <c r="C6" s="10" t="s">
        <v>23</v>
      </c>
      <c r="D6" s="10" t="s">
        <v>24</v>
      </c>
      <c r="E6" s="10" t="s">
        <v>25</v>
      </c>
      <c r="F6" s="10" t="s">
        <v>26</v>
      </c>
      <c r="G6" s="10" t="s">
        <v>27</v>
      </c>
      <c r="H6" s="10" t="s">
        <v>28</v>
      </c>
      <c r="I6" s="10" t="s">
        <v>29</v>
      </c>
      <c r="J6" s="472"/>
      <c r="K6" s="472"/>
      <c r="L6" s="10" t="s">
        <v>6</v>
      </c>
      <c r="M6" s="10" t="s">
        <v>30</v>
      </c>
      <c r="N6" s="10" t="s">
        <v>31</v>
      </c>
      <c r="O6" s="10" t="s">
        <v>32</v>
      </c>
      <c r="P6" s="10" t="s">
        <v>33</v>
      </c>
      <c r="Q6" s="10" t="s">
        <v>7</v>
      </c>
      <c r="R6" s="10" t="s">
        <v>34</v>
      </c>
      <c r="S6" s="10" t="s">
        <v>31</v>
      </c>
      <c r="T6" s="10" t="s">
        <v>32</v>
      </c>
      <c r="U6" s="10" t="s">
        <v>35</v>
      </c>
      <c r="V6" s="149" t="s">
        <v>36</v>
      </c>
      <c r="W6" s="149" t="s">
        <v>37</v>
      </c>
      <c r="X6" s="10" t="s">
        <v>38</v>
      </c>
      <c r="Y6" s="10" t="s">
        <v>39</v>
      </c>
      <c r="Z6" s="10" t="s">
        <v>40</v>
      </c>
      <c r="AA6" s="10" t="s">
        <v>41</v>
      </c>
      <c r="AB6" s="10" t="s">
        <v>42</v>
      </c>
      <c r="AC6" s="10" t="s">
        <v>39</v>
      </c>
      <c r="AD6" s="10" t="s">
        <v>40</v>
      </c>
      <c r="AE6" s="10" t="s">
        <v>41</v>
      </c>
      <c r="AF6" s="10" t="s">
        <v>42</v>
      </c>
      <c r="AG6" s="10" t="s">
        <v>39</v>
      </c>
      <c r="AH6" s="10" t="s">
        <v>40</v>
      </c>
      <c r="AI6" s="10" t="s">
        <v>41</v>
      </c>
      <c r="AJ6" s="10" t="s">
        <v>42</v>
      </c>
      <c r="AK6" s="10" t="s">
        <v>39</v>
      </c>
      <c r="AL6" s="10" t="s">
        <v>40</v>
      </c>
      <c r="AM6" s="10" t="s">
        <v>41</v>
      </c>
      <c r="AN6" s="10" t="s">
        <v>42</v>
      </c>
      <c r="AO6" s="10" t="s">
        <v>39</v>
      </c>
      <c r="AP6" s="10" t="s">
        <v>40</v>
      </c>
      <c r="AQ6" s="10" t="s">
        <v>41</v>
      </c>
      <c r="AR6" s="10" t="s">
        <v>42</v>
      </c>
      <c r="AS6" s="10" t="s">
        <v>39</v>
      </c>
      <c r="AT6" s="10" t="s">
        <v>40</v>
      </c>
      <c r="AU6" s="10" t="s">
        <v>41</v>
      </c>
      <c r="AV6" s="246" t="s">
        <v>42</v>
      </c>
      <c r="AW6" s="318"/>
      <c r="AX6" s="318"/>
      <c r="AY6" s="318"/>
      <c r="AZ6" s="318"/>
      <c r="BA6" s="318"/>
      <c r="BB6" s="318"/>
      <c r="BC6" s="318"/>
      <c r="BD6" s="318"/>
      <c r="BE6" s="318"/>
      <c r="BF6" s="318"/>
      <c r="BG6" s="318"/>
      <c r="BH6" s="318"/>
      <c r="BI6" s="318"/>
      <c r="BJ6" s="318"/>
      <c r="BK6" s="318"/>
      <c r="BL6" s="318"/>
      <c r="BM6" s="318"/>
      <c r="BN6" s="318"/>
      <c r="BO6" s="318"/>
      <c r="BP6" s="318"/>
    </row>
    <row r="7" spans="1:68" s="22" customFormat="1" ht="106.5" customHeight="1" x14ac:dyDescent="0.25">
      <c r="A7" s="393" t="s">
        <v>43</v>
      </c>
      <c r="B7" s="393" t="s">
        <v>44</v>
      </c>
      <c r="C7" s="393" t="s">
        <v>45</v>
      </c>
      <c r="D7" s="393" t="s">
        <v>46</v>
      </c>
      <c r="E7" s="393" t="s">
        <v>375</v>
      </c>
      <c r="F7" s="393" t="s">
        <v>376</v>
      </c>
      <c r="G7" s="396" t="s">
        <v>377</v>
      </c>
      <c r="H7" s="393" t="s">
        <v>378</v>
      </c>
      <c r="I7" s="396" t="s">
        <v>379</v>
      </c>
      <c r="J7" s="393" t="s">
        <v>380</v>
      </c>
      <c r="K7" s="396" t="s">
        <v>380</v>
      </c>
      <c r="L7" s="393" t="s">
        <v>381</v>
      </c>
      <c r="M7" s="393" t="s">
        <v>382</v>
      </c>
      <c r="N7" s="393" t="s">
        <v>56</v>
      </c>
      <c r="O7" s="393">
        <v>0</v>
      </c>
      <c r="P7" s="393">
        <v>11</v>
      </c>
      <c r="Q7" s="273" t="s">
        <v>383</v>
      </c>
      <c r="R7" s="150" t="s">
        <v>384</v>
      </c>
      <c r="S7" s="273" t="s">
        <v>74</v>
      </c>
      <c r="T7" s="273">
        <v>0</v>
      </c>
      <c r="U7" s="273">
        <v>7</v>
      </c>
      <c r="V7" s="475">
        <v>1441069350</v>
      </c>
      <c r="W7" s="475">
        <v>1441069350</v>
      </c>
      <c r="X7" s="396" t="s">
        <v>385</v>
      </c>
      <c r="Y7" s="478">
        <v>0.02</v>
      </c>
      <c r="Z7" s="393">
        <v>11</v>
      </c>
      <c r="AA7" s="478">
        <v>0.02</v>
      </c>
      <c r="AB7" s="478"/>
      <c r="AC7" s="274">
        <v>0</v>
      </c>
      <c r="AD7" s="274">
        <v>7</v>
      </c>
      <c r="AE7" s="274">
        <v>0</v>
      </c>
      <c r="AF7" s="274" t="s">
        <v>386</v>
      </c>
      <c r="AG7" s="478">
        <v>0</v>
      </c>
      <c r="AH7" s="492">
        <v>11</v>
      </c>
      <c r="AI7" s="478">
        <f>2%+AG7</f>
        <v>0.02</v>
      </c>
      <c r="AJ7" s="490" t="s">
        <v>387</v>
      </c>
      <c r="AK7" s="274">
        <v>0</v>
      </c>
      <c r="AL7" s="274">
        <v>7</v>
      </c>
      <c r="AM7" s="274">
        <v>0</v>
      </c>
      <c r="AN7" s="274" t="s">
        <v>388</v>
      </c>
      <c r="AO7" s="478">
        <v>7.0000000000000007E-2</v>
      </c>
      <c r="AP7" s="492">
        <v>11</v>
      </c>
      <c r="AQ7" s="478">
        <f>2%+AO7</f>
        <v>9.0000000000000011E-2</v>
      </c>
      <c r="AR7" s="490" t="s">
        <v>389</v>
      </c>
      <c r="AS7" s="274">
        <v>0</v>
      </c>
      <c r="AT7" s="274">
        <v>7</v>
      </c>
      <c r="AU7" s="274">
        <v>0</v>
      </c>
      <c r="AV7" s="274" t="s">
        <v>390</v>
      </c>
      <c r="AW7" s="319"/>
      <c r="AX7" s="319"/>
      <c r="AY7" s="319"/>
      <c r="AZ7" s="319"/>
      <c r="BA7" s="319"/>
      <c r="BB7" s="319"/>
      <c r="BC7" s="319"/>
      <c r="BD7" s="319"/>
      <c r="BE7" s="319"/>
      <c r="BF7" s="319"/>
      <c r="BG7" s="319"/>
      <c r="BH7" s="319"/>
      <c r="BI7" s="319"/>
      <c r="BJ7" s="319"/>
      <c r="BK7" s="319"/>
      <c r="BL7" s="319"/>
      <c r="BM7" s="319"/>
      <c r="BN7" s="319"/>
      <c r="BO7" s="319"/>
      <c r="BP7" s="319"/>
    </row>
    <row r="8" spans="1:68" s="33" customFormat="1" ht="100.5" customHeight="1" x14ac:dyDescent="0.25">
      <c r="A8" s="394"/>
      <c r="B8" s="394"/>
      <c r="C8" s="394"/>
      <c r="D8" s="394"/>
      <c r="E8" s="394"/>
      <c r="F8" s="394"/>
      <c r="G8" s="397"/>
      <c r="H8" s="394"/>
      <c r="I8" s="397"/>
      <c r="J8" s="394"/>
      <c r="K8" s="397"/>
      <c r="L8" s="394"/>
      <c r="M8" s="394"/>
      <c r="N8" s="394"/>
      <c r="O8" s="394"/>
      <c r="P8" s="394"/>
      <c r="Q8" s="272" t="s">
        <v>391</v>
      </c>
      <c r="R8" s="156" t="s">
        <v>384</v>
      </c>
      <c r="S8" s="272" t="s">
        <v>74</v>
      </c>
      <c r="T8" s="272">
        <v>0</v>
      </c>
      <c r="U8" s="276">
        <v>1</v>
      </c>
      <c r="V8" s="476"/>
      <c r="W8" s="476"/>
      <c r="X8" s="397"/>
      <c r="Y8" s="479"/>
      <c r="Z8" s="394"/>
      <c r="AA8" s="479"/>
      <c r="AB8" s="479"/>
      <c r="AC8" s="276">
        <v>0</v>
      </c>
      <c r="AD8" s="276">
        <v>1</v>
      </c>
      <c r="AE8" s="276">
        <v>0</v>
      </c>
      <c r="AF8" s="275" t="s">
        <v>386</v>
      </c>
      <c r="AG8" s="479"/>
      <c r="AH8" s="493"/>
      <c r="AI8" s="479"/>
      <c r="AJ8" s="491"/>
      <c r="AK8" s="276">
        <v>0</v>
      </c>
      <c r="AL8" s="276">
        <v>1</v>
      </c>
      <c r="AM8" s="276">
        <v>0</v>
      </c>
      <c r="AN8" s="275" t="s">
        <v>392</v>
      </c>
      <c r="AO8" s="479"/>
      <c r="AP8" s="493"/>
      <c r="AQ8" s="479"/>
      <c r="AR8" s="491"/>
      <c r="AS8" s="276">
        <v>0.25</v>
      </c>
      <c r="AT8" s="276">
        <v>1</v>
      </c>
      <c r="AU8" s="276">
        <v>0.25</v>
      </c>
      <c r="AV8" s="275" t="s">
        <v>393</v>
      </c>
      <c r="AW8" s="319"/>
      <c r="AX8" s="319"/>
      <c r="AY8" s="319"/>
      <c r="AZ8" s="319"/>
      <c r="BA8" s="319"/>
      <c r="BB8" s="319"/>
      <c r="BC8" s="319"/>
      <c r="BD8" s="319"/>
      <c r="BE8" s="319"/>
      <c r="BF8" s="319"/>
      <c r="BG8" s="319"/>
      <c r="BH8" s="319"/>
      <c r="BI8" s="319"/>
      <c r="BJ8" s="319"/>
      <c r="BK8" s="319"/>
      <c r="BL8" s="319"/>
      <c r="BM8" s="319"/>
      <c r="BN8" s="319"/>
      <c r="BO8" s="319"/>
      <c r="BP8" s="319"/>
    </row>
    <row r="9" spans="1:68" s="22" customFormat="1" ht="155.25" customHeight="1" x14ac:dyDescent="0.25">
      <c r="A9" s="394"/>
      <c r="B9" s="394"/>
      <c r="C9" s="394"/>
      <c r="D9" s="394"/>
      <c r="E9" s="394"/>
      <c r="F9" s="394"/>
      <c r="G9" s="397"/>
      <c r="H9" s="394"/>
      <c r="I9" s="397"/>
      <c r="J9" s="394"/>
      <c r="K9" s="397"/>
      <c r="L9" s="394"/>
      <c r="M9" s="394"/>
      <c r="N9" s="394"/>
      <c r="O9" s="394"/>
      <c r="P9" s="394"/>
      <c r="Q9" s="273" t="s">
        <v>394</v>
      </c>
      <c r="R9" s="150" t="s">
        <v>384</v>
      </c>
      <c r="S9" s="273" t="s">
        <v>74</v>
      </c>
      <c r="T9" s="273">
        <v>0</v>
      </c>
      <c r="U9" s="274">
        <v>1</v>
      </c>
      <c r="V9" s="476"/>
      <c r="W9" s="476"/>
      <c r="X9" s="397"/>
      <c r="Y9" s="479"/>
      <c r="Z9" s="394"/>
      <c r="AA9" s="479"/>
      <c r="AB9" s="479"/>
      <c r="AC9" s="274">
        <v>0.1</v>
      </c>
      <c r="AD9" s="274">
        <v>1</v>
      </c>
      <c r="AE9" s="274">
        <v>0.1</v>
      </c>
      <c r="AF9" s="274"/>
      <c r="AG9" s="479"/>
      <c r="AH9" s="493"/>
      <c r="AI9" s="479"/>
      <c r="AJ9" s="491"/>
      <c r="AK9" s="274">
        <v>0.02</v>
      </c>
      <c r="AL9" s="274">
        <v>1</v>
      </c>
      <c r="AM9" s="274">
        <v>0.12</v>
      </c>
      <c r="AN9" s="274" t="s">
        <v>395</v>
      </c>
      <c r="AO9" s="479"/>
      <c r="AP9" s="493"/>
      <c r="AQ9" s="479"/>
      <c r="AR9" s="491"/>
      <c r="AS9" s="274" t="s">
        <v>396</v>
      </c>
      <c r="AT9" s="274">
        <v>1</v>
      </c>
      <c r="AU9" s="274" t="s">
        <v>397</v>
      </c>
      <c r="AV9" s="274" t="s">
        <v>398</v>
      </c>
      <c r="AW9" s="319"/>
      <c r="AX9" s="319"/>
      <c r="AY9" s="319"/>
      <c r="AZ9" s="319"/>
      <c r="BA9" s="319"/>
      <c r="BB9" s="319"/>
      <c r="BC9" s="319"/>
      <c r="BD9" s="319"/>
      <c r="BE9" s="319"/>
      <c r="BF9" s="319"/>
      <c r="BG9" s="319"/>
      <c r="BH9" s="319"/>
      <c r="BI9" s="319"/>
      <c r="BJ9" s="319"/>
      <c r="BK9" s="319"/>
      <c r="BL9" s="319"/>
      <c r="BM9" s="319"/>
      <c r="BN9" s="319"/>
      <c r="BO9" s="319"/>
      <c r="BP9" s="319"/>
    </row>
    <row r="10" spans="1:68" s="33" customFormat="1" ht="103.5" customHeight="1" x14ac:dyDescent="0.25">
      <c r="A10" s="394"/>
      <c r="B10" s="394"/>
      <c r="C10" s="394"/>
      <c r="D10" s="394"/>
      <c r="E10" s="394"/>
      <c r="F10" s="394"/>
      <c r="G10" s="397"/>
      <c r="H10" s="394"/>
      <c r="I10" s="397"/>
      <c r="J10" s="394"/>
      <c r="K10" s="397"/>
      <c r="L10" s="394"/>
      <c r="M10" s="394"/>
      <c r="N10" s="394"/>
      <c r="O10" s="394"/>
      <c r="P10" s="394"/>
      <c r="Q10" s="272" t="s">
        <v>399</v>
      </c>
      <c r="R10" s="156" t="s">
        <v>384</v>
      </c>
      <c r="S10" s="272" t="s">
        <v>74</v>
      </c>
      <c r="T10" s="272">
        <v>0</v>
      </c>
      <c r="U10" s="276">
        <v>1</v>
      </c>
      <c r="V10" s="476"/>
      <c r="W10" s="476"/>
      <c r="X10" s="397"/>
      <c r="Y10" s="479"/>
      <c r="Z10" s="394"/>
      <c r="AA10" s="479"/>
      <c r="AB10" s="479"/>
      <c r="AC10" s="276">
        <v>0</v>
      </c>
      <c r="AD10" s="276">
        <v>1</v>
      </c>
      <c r="AE10" s="276">
        <v>0</v>
      </c>
      <c r="AF10" s="276" t="s">
        <v>386</v>
      </c>
      <c r="AG10" s="479"/>
      <c r="AH10" s="493"/>
      <c r="AI10" s="479"/>
      <c r="AJ10" s="491"/>
      <c r="AK10" s="276">
        <v>0</v>
      </c>
      <c r="AL10" s="276">
        <v>1</v>
      </c>
      <c r="AM10" s="276">
        <v>0</v>
      </c>
      <c r="AN10" s="275" t="s">
        <v>392</v>
      </c>
      <c r="AO10" s="479"/>
      <c r="AP10" s="493"/>
      <c r="AQ10" s="479"/>
      <c r="AR10" s="491"/>
      <c r="AS10" s="276">
        <v>0.05</v>
      </c>
      <c r="AT10" s="276">
        <v>1</v>
      </c>
      <c r="AU10" s="276">
        <v>0.05</v>
      </c>
      <c r="AV10" s="275" t="s">
        <v>400</v>
      </c>
      <c r="AW10" s="319"/>
      <c r="AX10" s="319"/>
      <c r="AY10" s="319"/>
      <c r="AZ10" s="319"/>
      <c r="BA10" s="319"/>
      <c r="BB10" s="319"/>
      <c r="BC10" s="319"/>
      <c r="BD10" s="319"/>
      <c r="BE10" s="319"/>
      <c r="BF10" s="319"/>
      <c r="BG10" s="319"/>
      <c r="BH10" s="319"/>
      <c r="BI10" s="319"/>
      <c r="BJ10" s="319"/>
      <c r="BK10" s="319"/>
      <c r="BL10" s="319"/>
      <c r="BM10" s="319"/>
      <c r="BN10" s="319"/>
      <c r="BO10" s="319"/>
      <c r="BP10" s="319"/>
    </row>
    <row r="11" spans="1:68" s="22" customFormat="1" ht="98.25" customHeight="1" x14ac:dyDescent="0.25">
      <c r="A11" s="395"/>
      <c r="B11" s="395"/>
      <c r="C11" s="395"/>
      <c r="D11" s="395"/>
      <c r="E11" s="395"/>
      <c r="F11" s="395"/>
      <c r="G11" s="397"/>
      <c r="H11" s="394"/>
      <c r="I11" s="397"/>
      <c r="J11" s="394"/>
      <c r="K11" s="397"/>
      <c r="L11" s="395"/>
      <c r="M11" s="395"/>
      <c r="N11" s="395"/>
      <c r="O11" s="395"/>
      <c r="P11" s="395"/>
      <c r="Q11" s="273" t="s">
        <v>401</v>
      </c>
      <c r="R11" s="150" t="s">
        <v>384</v>
      </c>
      <c r="S11" s="273" t="s">
        <v>74</v>
      </c>
      <c r="T11" s="273">
        <v>0</v>
      </c>
      <c r="U11" s="274">
        <v>1</v>
      </c>
      <c r="V11" s="476"/>
      <c r="W11" s="476"/>
      <c r="X11" s="397"/>
      <c r="Y11" s="480"/>
      <c r="Z11" s="395"/>
      <c r="AA11" s="480"/>
      <c r="AB11" s="480"/>
      <c r="AC11" s="274">
        <v>0</v>
      </c>
      <c r="AD11" s="274">
        <v>1</v>
      </c>
      <c r="AE11" s="274">
        <v>0</v>
      </c>
      <c r="AF11" s="274" t="s">
        <v>386</v>
      </c>
      <c r="AG11" s="480"/>
      <c r="AH11" s="494"/>
      <c r="AI11" s="480"/>
      <c r="AJ11" s="491"/>
      <c r="AK11" s="274">
        <v>0</v>
      </c>
      <c r="AL11" s="274">
        <v>1</v>
      </c>
      <c r="AM11" s="274">
        <v>0</v>
      </c>
      <c r="AN11" s="274" t="s">
        <v>392</v>
      </c>
      <c r="AO11" s="480"/>
      <c r="AP11" s="494"/>
      <c r="AQ11" s="480"/>
      <c r="AR11" s="491"/>
      <c r="AS11" s="274">
        <v>0.05</v>
      </c>
      <c r="AT11" s="274">
        <v>1</v>
      </c>
      <c r="AU11" s="274">
        <v>0.05</v>
      </c>
      <c r="AV11" s="274" t="s">
        <v>402</v>
      </c>
      <c r="AW11" s="319"/>
      <c r="AX11" s="319"/>
      <c r="AY11" s="319"/>
      <c r="AZ11" s="319"/>
      <c r="BA11" s="319"/>
      <c r="BB11" s="319"/>
      <c r="BC11" s="319"/>
      <c r="BD11" s="319"/>
      <c r="BE11" s="319"/>
      <c r="BF11" s="319"/>
      <c r="BG11" s="319"/>
      <c r="BH11" s="319"/>
      <c r="BI11" s="319"/>
      <c r="BJ11" s="319"/>
      <c r="BK11" s="319"/>
      <c r="BL11" s="319"/>
      <c r="BM11" s="319"/>
      <c r="BN11" s="319"/>
      <c r="BO11" s="319"/>
      <c r="BP11" s="319"/>
    </row>
    <row r="12" spans="1:68" s="33" customFormat="1" ht="93.75" customHeight="1" x14ac:dyDescent="0.25">
      <c r="A12" s="275" t="s">
        <v>43</v>
      </c>
      <c r="B12" s="275" t="s">
        <v>44</v>
      </c>
      <c r="C12" s="275" t="s">
        <v>45</v>
      </c>
      <c r="D12" s="275" t="s">
        <v>46</v>
      </c>
      <c r="E12" s="275" t="s">
        <v>71</v>
      </c>
      <c r="F12" s="275" t="s">
        <v>48</v>
      </c>
      <c r="G12" s="397"/>
      <c r="H12" s="394"/>
      <c r="I12" s="397"/>
      <c r="J12" s="394"/>
      <c r="K12" s="397"/>
      <c r="L12" s="275" t="s">
        <v>403</v>
      </c>
      <c r="M12" s="275" t="s">
        <v>404</v>
      </c>
      <c r="N12" s="275" t="s">
        <v>74</v>
      </c>
      <c r="O12" s="275">
        <v>0</v>
      </c>
      <c r="P12" s="275">
        <v>0.95</v>
      </c>
      <c r="Q12" s="272" t="s">
        <v>405</v>
      </c>
      <c r="R12" s="156" t="s">
        <v>384</v>
      </c>
      <c r="S12" s="272" t="s">
        <v>74</v>
      </c>
      <c r="T12" s="272">
        <v>0</v>
      </c>
      <c r="U12" s="276">
        <v>1</v>
      </c>
      <c r="V12" s="476"/>
      <c r="W12" s="476"/>
      <c r="X12" s="397"/>
      <c r="Y12" s="276"/>
      <c r="Z12" s="276">
        <v>0.95</v>
      </c>
      <c r="AA12" s="276">
        <v>9.9000000000000005E-2</v>
      </c>
      <c r="AB12" s="276"/>
      <c r="AC12" s="276">
        <v>0</v>
      </c>
      <c r="AD12" s="276">
        <v>1</v>
      </c>
      <c r="AE12" s="276">
        <v>0</v>
      </c>
      <c r="AF12" s="276" t="s">
        <v>386</v>
      </c>
      <c r="AG12" s="276">
        <v>0.17399999999999999</v>
      </c>
      <c r="AH12" s="276">
        <v>0.95</v>
      </c>
      <c r="AI12" s="276">
        <v>0.17399999999999999</v>
      </c>
      <c r="AJ12" s="276"/>
      <c r="AK12" s="276">
        <v>0.08</v>
      </c>
      <c r="AL12" s="276">
        <v>1</v>
      </c>
      <c r="AM12" s="276">
        <v>0.08</v>
      </c>
      <c r="AN12" s="275" t="s">
        <v>406</v>
      </c>
      <c r="AO12" s="276"/>
      <c r="AP12" s="276">
        <v>0.95</v>
      </c>
      <c r="AQ12" s="276" t="s">
        <v>407</v>
      </c>
      <c r="AR12" s="276"/>
      <c r="AS12" s="276">
        <v>0.28000000000000003</v>
      </c>
      <c r="AT12" s="276">
        <v>1</v>
      </c>
      <c r="AU12" s="276">
        <v>0.36</v>
      </c>
      <c r="AV12" s="275" t="s">
        <v>408</v>
      </c>
      <c r="AW12" s="319"/>
      <c r="AX12" s="319"/>
      <c r="AY12" s="319"/>
      <c r="AZ12" s="319"/>
      <c r="BA12" s="319"/>
      <c r="BB12" s="319"/>
      <c r="BC12" s="319"/>
      <c r="BD12" s="319"/>
      <c r="BE12" s="319"/>
      <c r="BF12" s="319"/>
      <c r="BG12" s="319"/>
      <c r="BH12" s="319"/>
      <c r="BI12" s="319"/>
      <c r="BJ12" s="319"/>
      <c r="BK12" s="319"/>
      <c r="BL12" s="319"/>
      <c r="BM12" s="319"/>
      <c r="BN12" s="319"/>
      <c r="BO12" s="319"/>
      <c r="BP12" s="319"/>
    </row>
    <row r="13" spans="1:68" s="33" customFormat="1" ht="177" customHeight="1" x14ac:dyDescent="0.25">
      <c r="A13" s="390" t="s">
        <v>43</v>
      </c>
      <c r="B13" s="390" t="s">
        <v>44</v>
      </c>
      <c r="C13" s="390" t="s">
        <v>45</v>
      </c>
      <c r="D13" s="390" t="s">
        <v>349</v>
      </c>
      <c r="E13" s="390" t="s">
        <v>71</v>
      </c>
      <c r="F13" s="390" t="s">
        <v>48</v>
      </c>
      <c r="G13" s="397"/>
      <c r="H13" s="394"/>
      <c r="I13" s="397"/>
      <c r="J13" s="394"/>
      <c r="K13" s="397"/>
      <c r="L13" s="390" t="s">
        <v>409</v>
      </c>
      <c r="M13" s="390" t="s">
        <v>410</v>
      </c>
      <c r="N13" s="390" t="s">
        <v>56</v>
      </c>
      <c r="O13" s="390">
        <v>0</v>
      </c>
      <c r="P13" s="390">
        <v>3</v>
      </c>
      <c r="Q13" s="273" t="s">
        <v>411</v>
      </c>
      <c r="R13" s="150" t="s">
        <v>384</v>
      </c>
      <c r="S13" s="273" t="s">
        <v>74</v>
      </c>
      <c r="T13" s="273">
        <v>0</v>
      </c>
      <c r="U13" s="274">
        <v>1</v>
      </c>
      <c r="V13" s="476"/>
      <c r="W13" s="476"/>
      <c r="X13" s="397"/>
      <c r="Y13" s="481">
        <v>0.3</v>
      </c>
      <c r="Z13" s="484">
        <v>3</v>
      </c>
      <c r="AA13" s="487">
        <v>0.3</v>
      </c>
      <c r="AB13" s="484"/>
      <c r="AC13" s="274">
        <v>0.4</v>
      </c>
      <c r="AD13" s="274">
        <v>1</v>
      </c>
      <c r="AE13" s="274">
        <v>0.4</v>
      </c>
      <c r="AF13" s="274"/>
      <c r="AG13" s="478">
        <v>0.16</v>
      </c>
      <c r="AH13" s="492">
        <v>3</v>
      </c>
      <c r="AI13" s="478">
        <f>30%+AG13</f>
        <v>0.45999999999999996</v>
      </c>
      <c r="AJ13" s="478" t="s">
        <v>412</v>
      </c>
      <c r="AK13" s="274">
        <v>0.05</v>
      </c>
      <c r="AL13" s="274">
        <v>1</v>
      </c>
      <c r="AM13" s="274">
        <v>0.45</v>
      </c>
      <c r="AN13" s="274" t="s">
        <v>413</v>
      </c>
      <c r="AO13" s="478">
        <v>0.14000000000000001</v>
      </c>
      <c r="AP13" s="492">
        <v>3</v>
      </c>
      <c r="AQ13" s="478">
        <v>0.6</v>
      </c>
      <c r="AR13" s="478" t="s">
        <v>414</v>
      </c>
      <c r="AS13" s="274">
        <v>0.27</v>
      </c>
      <c r="AT13" s="274">
        <v>1</v>
      </c>
      <c r="AU13" s="274">
        <v>0.72</v>
      </c>
      <c r="AV13" s="274" t="s">
        <v>415</v>
      </c>
      <c r="AW13" s="319"/>
      <c r="AX13" s="319"/>
      <c r="AY13" s="319"/>
      <c r="AZ13" s="319"/>
      <c r="BA13" s="319"/>
      <c r="BB13" s="319"/>
      <c r="BC13" s="319"/>
      <c r="BD13" s="319"/>
      <c r="BE13" s="319"/>
      <c r="BF13" s="319"/>
      <c r="BG13" s="319"/>
      <c r="BH13" s="319"/>
      <c r="BI13" s="319"/>
      <c r="BJ13" s="319"/>
      <c r="BK13" s="319"/>
      <c r="BL13" s="319"/>
      <c r="BM13" s="319"/>
      <c r="BN13" s="319"/>
      <c r="BO13" s="319"/>
      <c r="BP13" s="319"/>
    </row>
    <row r="14" spans="1:68" s="33" customFormat="1" ht="103.5" customHeight="1" x14ac:dyDescent="0.25">
      <c r="A14" s="390"/>
      <c r="B14" s="390"/>
      <c r="C14" s="390"/>
      <c r="D14" s="390"/>
      <c r="E14" s="390"/>
      <c r="F14" s="390"/>
      <c r="G14" s="397"/>
      <c r="H14" s="394"/>
      <c r="I14" s="397"/>
      <c r="J14" s="394"/>
      <c r="K14" s="397"/>
      <c r="L14" s="390"/>
      <c r="M14" s="390"/>
      <c r="N14" s="390"/>
      <c r="O14" s="390"/>
      <c r="P14" s="390"/>
      <c r="Q14" s="272" t="s">
        <v>416</v>
      </c>
      <c r="R14" s="156" t="s">
        <v>384</v>
      </c>
      <c r="S14" s="272" t="s">
        <v>74</v>
      </c>
      <c r="T14" s="272">
        <v>0</v>
      </c>
      <c r="U14" s="276">
        <v>1</v>
      </c>
      <c r="V14" s="476"/>
      <c r="W14" s="476"/>
      <c r="X14" s="397"/>
      <c r="Y14" s="482"/>
      <c r="Z14" s="485"/>
      <c r="AA14" s="488"/>
      <c r="AB14" s="485"/>
      <c r="AC14" s="276">
        <v>0.05</v>
      </c>
      <c r="AD14" s="276">
        <v>1</v>
      </c>
      <c r="AE14" s="276">
        <v>0.05</v>
      </c>
      <c r="AF14" s="276"/>
      <c r="AG14" s="479"/>
      <c r="AH14" s="493"/>
      <c r="AI14" s="479"/>
      <c r="AJ14" s="479"/>
      <c r="AK14" s="276">
        <v>0.38</v>
      </c>
      <c r="AL14" s="276">
        <v>1</v>
      </c>
      <c r="AM14" s="276">
        <v>0.43</v>
      </c>
      <c r="AN14" s="275" t="s">
        <v>417</v>
      </c>
      <c r="AO14" s="479"/>
      <c r="AP14" s="493"/>
      <c r="AQ14" s="479"/>
      <c r="AR14" s="479"/>
      <c r="AS14" s="276">
        <v>0.05</v>
      </c>
      <c r="AT14" s="276">
        <v>1</v>
      </c>
      <c r="AU14" s="276">
        <v>0.48</v>
      </c>
      <c r="AV14" s="275" t="s">
        <v>418</v>
      </c>
      <c r="AW14" s="319"/>
      <c r="AX14" s="319"/>
      <c r="AY14" s="319"/>
      <c r="AZ14" s="319"/>
      <c r="BA14" s="319"/>
      <c r="BB14" s="319"/>
      <c r="BC14" s="319"/>
      <c r="BD14" s="319"/>
      <c r="BE14" s="319"/>
      <c r="BF14" s="319"/>
      <c r="BG14" s="319"/>
      <c r="BH14" s="319"/>
      <c r="BI14" s="319"/>
      <c r="BJ14" s="319"/>
      <c r="BK14" s="319"/>
      <c r="BL14" s="319"/>
      <c r="BM14" s="319"/>
      <c r="BN14" s="319"/>
      <c r="BO14" s="319"/>
      <c r="BP14" s="319"/>
    </row>
    <row r="15" spans="1:68" s="22" customFormat="1" ht="153.75" customHeight="1" x14ac:dyDescent="0.25">
      <c r="A15" s="390"/>
      <c r="B15" s="390"/>
      <c r="C15" s="390"/>
      <c r="D15" s="390"/>
      <c r="E15" s="390"/>
      <c r="F15" s="390"/>
      <c r="G15" s="397"/>
      <c r="H15" s="394"/>
      <c r="I15" s="397"/>
      <c r="J15" s="394"/>
      <c r="K15" s="397"/>
      <c r="L15" s="390"/>
      <c r="M15" s="390"/>
      <c r="N15" s="390"/>
      <c r="O15" s="390"/>
      <c r="P15" s="390"/>
      <c r="Q15" s="273" t="s">
        <v>419</v>
      </c>
      <c r="R15" s="150" t="s">
        <v>384</v>
      </c>
      <c r="S15" s="273" t="s">
        <v>74</v>
      </c>
      <c r="T15" s="273">
        <v>0</v>
      </c>
      <c r="U15" s="274">
        <v>1</v>
      </c>
      <c r="V15" s="477"/>
      <c r="W15" s="477"/>
      <c r="X15" s="397"/>
      <c r="Y15" s="483"/>
      <c r="Z15" s="486"/>
      <c r="AA15" s="489"/>
      <c r="AB15" s="486"/>
      <c r="AC15" s="274">
        <v>0.45</v>
      </c>
      <c r="AD15" s="274">
        <v>1</v>
      </c>
      <c r="AE15" s="274">
        <v>0.45</v>
      </c>
      <c r="AF15" s="274"/>
      <c r="AG15" s="480"/>
      <c r="AH15" s="494"/>
      <c r="AI15" s="480"/>
      <c r="AJ15" s="480"/>
      <c r="AK15" s="274">
        <v>0.05</v>
      </c>
      <c r="AL15" s="274">
        <v>1</v>
      </c>
      <c r="AM15" s="274">
        <v>0.5</v>
      </c>
      <c r="AN15" s="274" t="s">
        <v>420</v>
      </c>
      <c r="AO15" s="480"/>
      <c r="AP15" s="494"/>
      <c r="AQ15" s="480"/>
      <c r="AR15" s="480"/>
      <c r="AS15" s="274">
        <v>0.1</v>
      </c>
      <c r="AT15" s="274">
        <v>1</v>
      </c>
      <c r="AU15" s="274">
        <v>0.6</v>
      </c>
      <c r="AV15" s="274" t="s">
        <v>421</v>
      </c>
      <c r="AW15" s="319"/>
      <c r="AX15" s="319"/>
      <c r="AY15" s="319"/>
      <c r="AZ15" s="319"/>
      <c r="BA15" s="319"/>
      <c r="BB15" s="319"/>
      <c r="BC15" s="319"/>
      <c r="BD15" s="319"/>
      <c r="BE15" s="319"/>
      <c r="BF15" s="319"/>
      <c r="BG15" s="319"/>
      <c r="BH15" s="319"/>
      <c r="BI15" s="319"/>
      <c r="BJ15" s="319"/>
      <c r="BK15" s="319"/>
      <c r="BL15" s="319"/>
      <c r="BM15" s="319"/>
      <c r="BN15" s="319"/>
      <c r="BO15" s="319"/>
      <c r="BP15" s="319"/>
    </row>
    <row r="16" spans="1:68" s="33" customFormat="1" ht="103.5" customHeight="1" x14ac:dyDescent="0.25">
      <c r="A16" s="271" t="s">
        <v>43</v>
      </c>
      <c r="B16" s="271" t="s">
        <v>44</v>
      </c>
      <c r="C16" s="271" t="s">
        <v>45</v>
      </c>
      <c r="D16" s="271" t="s">
        <v>306</v>
      </c>
      <c r="E16" s="271" t="s">
        <v>422</v>
      </c>
      <c r="F16" s="271" t="s">
        <v>422</v>
      </c>
      <c r="G16" s="397"/>
      <c r="H16" s="394"/>
      <c r="I16" s="398"/>
      <c r="J16" s="394"/>
      <c r="K16" s="397"/>
      <c r="L16" s="271" t="s">
        <v>423</v>
      </c>
      <c r="M16" s="271" t="s">
        <v>424</v>
      </c>
      <c r="N16" s="271" t="s">
        <v>56</v>
      </c>
      <c r="O16" s="271">
        <v>0</v>
      </c>
      <c r="P16" s="271">
        <v>5</v>
      </c>
      <c r="Q16" s="495"/>
      <c r="R16" s="496"/>
      <c r="S16" s="496"/>
      <c r="T16" s="496"/>
      <c r="U16" s="497"/>
      <c r="V16" s="313"/>
      <c r="W16" s="313"/>
      <c r="X16" s="397"/>
      <c r="Y16" s="313">
        <v>0</v>
      </c>
      <c r="Z16" s="313">
        <v>5</v>
      </c>
      <c r="AA16" s="276">
        <v>0</v>
      </c>
      <c r="AB16" s="309" t="s">
        <v>386</v>
      </c>
      <c r="AC16" s="495"/>
      <c r="AD16" s="496"/>
      <c r="AE16" s="496"/>
      <c r="AF16" s="497"/>
      <c r="AG16" s="313">
        <v>1</v>
      </c>
      <c r="AH16" s="313">
        <v>5</v>
      </c>
      <c r="AI16" s="276">
        <f>AG16/AH16</f>
        <v>0.2</v>
      </c>
      <c r="AJ16" s="275" t="s">
        <v>425</v>
      </c>
      <c r="AK16" s="495"/>
      <c r="AL16" s="496"/>
      <c r="AM16" s="496"/>
      <c r="AN16" s="497"/>
      <c r="AO16" s="313">
        <v>1</v>
      </c>
      <c r="AP16" s="313">
        <v>5</v>
      </c>
      <c r="AQ16" s="314">
        <v>0.2</v>
      </c>
      <c r="AR16" s="316" t="s">
        <v>426</v>
      </c>
      <c r="AS16" s="495"/>
      <c r="AT16" s="496"/>
      <c r="AU16" s="496"/>
      <c r="AV16" s="497"/>
      <c r="AW16" s="319"/>
      <c r="AX16" s="319"/>
      <c r="AY16" s="319"/>
      <c r="AZ16" s="319"/>
      <c r="BA16" s="319"/>
      <c r="BB16" s="319"/>
      <c r="BC16" s="319"/>
      <c r="BD16" s="319"/>
      <c r="BE16" s="319"/>
      <c r="BF16" s="319"/>
      <c r="BG16" s="319"/>
      <c r="BH16" s="319"/>
      <c r="BI16" s="319"/>
      <c r="BJ16" s="319"/>
      <c r="BK16" s="319"/>
      <c r="BL16" s="319"/>
      <c r="BM16" s="319"/>
      <c r="BN16" s="319"/>
      <c r="BO16" s="319"/>
      <c r="BP16" s="319"/>
    </row>
    <row r="17" spans="1:68" ht="121.5" customHeight="1" x14ac:dyDescent="0.25">
      <c r="A17" s="273" t="s">
        <v>43</v>
      </c>
      <c r="B17" s="273" t="s">
        <v>44</v>
      </c>
      <c r="C17" s="273" t="s">
        <v>45</v>
      </c>
      <c r="D17" s="273" t="s">
        <v>349</v>
      </c>
      <c r="E17" s="273" t="s">
        <v>47</v>
      </c>
      <c r="F17" s="273" t="s">
        <v>326</v>
      </c>
      <c r="G17" s="397"/>
      <c r="H17" s="394"/>
      <c r="I17" s="396" t="s">
        <v>429</v>
      </c>
      <c r="J17" s="394"/>
      <c r="K17" s="397"/>
      <c r="L17" s="273" t="s">
        <v>427</v>
      </c>
      <c r="M17" s="273" t="s">
        <v>384</v>
      </c>
      <c r="N17" s="273" t="s">
        <v>74</v>
      </c>
      <c r="O17" s="273">
        <v>0</v>
      </c>
      <c r="P17" s="273">
        <v>1</v>
      </c>
      <c r="Q17" s="495"/>
      <c r="R17" s="496"/>
      <c r="S17" s="496"/>
      <c r="T17" s="496"/>
      <c r="U17" s="497"/>
      <c r="V17" s="274"/>
      <c r="W17" s="274"/>
      <c r="X17" s="397"/>
      <c r="Y17" s="274">
        <v>0</v>
      </c>
      <c r="Z17" s="274">
        <v>1</v>
      </c>
      <c r="AA17" s="274">
        <v>0</v>
      </c>
      <c r="AB17" s="274" t="s">
        <v>386</v>
      </c>
      <c r="AC17" s="495"/>
      <c r="AD17" s="496"/>
      <c r="AE17" s="496"/>
      <c r="AF17" s="497"/>
      <c r="AG17" s="274">
        <v>0.03</v>
      </c>
      <c r="AH17" s="274">
        <v>1</v>
      </c>
      <c r="AI17" s="274">
        <v>0.03</v>
      </c>
      <c r="AJ17" s="274"/>
      <c r="AK17" s="495"/>
      <c r="AL17" s="496"/>
      <c r="AM17" s="496"/>
      <c r="AN17" s="497"/>
      <c r="AO17" s="274">
        <v>0.03</v>
      </c>
      <c r="AP17" s="274">
        <v>1</v>
      </c>
      <c r="AQ17" s="315">
        <v>0.06</v>
      </c>
      <c r="AR17" s="315" t="s">
        <v>428</v>
      </c>
      <c r="AS17" s="495"/>
      <c r="AT17" s="496"/>
      <c r="AU17" s="496"/>
      <c r="AV17" s="497"/>
    </row>
    <row r="18" spans="1:68" ht="114" customHeight="1" x14ac:dyDescent="0.25">
      <c r="A18" s="271" t="s">
        <v>43</v>
      </c>
      <c r="B18" s="271" t="s">
        <v>44</v>
      </c>
      <c r="C18" s="271" t="s">
        <v>45</v>
      </c>
      <c r="D18" s="271" t="s">
        <v>349</v>
      </c>
      <c r="E18" s="271" t="s">
        <v>375</v>
      </c>
      <c r="F18" s="271" t="s">
        <v>376</v>
      </c>
      <c r="G18" s="398"/>
      <c r="H18" s="395"/>
      <c r="I18" s="398"/>
      <c r="J18" s="395"/>
      <c r="K18" s="398"/>
      <c r="L18" s="271" t="s">
        <v>430</v>
      </c>
      <c r="M18" s="271" t="s">
        <v>384</v>
      </c>
      <c r="N18" s="271" t="s">
        <v>74</v>
      </c>
      <c r="O18" s="271">
        <v>0</v>
      </c>
      <c r="P18" s="271">
        <v>1</v>
      </c>
      <c r="Q18" s="495"/>
      <c r="R18" s="496"/>
      <c r="S18" s="496"/>
      <c r="T18" s="496"/>
      <c r="U18" s="497"/>
      <c r="V18" s="313"/>
      <c r="W18" s="313"/>
      <c r="X18" s="398"/>
      <c r="Y18" s="313">
        <v>0.1</v>
      </c>
      <c r="Z18" s="313">
        <v>1</v>
      </c>
      <c r="AA18" s="276">
        <v>0.1</v>
      </c>
      <c r="AB18" s="275"/>
      <c r="AC18" s="495"/>
      <c r="AD18" s="496"/>
      <c r="AE18" s="496"/>
      <c r="AF18" s="497"/>
      <c r="AG18" s="276">
        <v>0.1</v>
      </c>
      <c r="AH18" s="313">
        <v>1</v>
      </c>
      <c r="AI18" s="276">
        <v>0.2</v>
      </c>
      <c r="AJ18" s="275" t="s">
        <v>431</v>
      </c>
      <c r="AK18" s="495"/>
      <c r="AL18" s="496"/>
      <c r="AM18" s="496"/>
      <c r="AN18" s="497"/>
      <c r="AO18" s="276">
        <v>0.35</v>
      </c>
      <c r="AP18" s="313">
        <v>1</v>
      </c>
      <c r="AQ18" s="314">
        <v>0.55000000000000004</v>
      </c>
      <c r="AR18" s="316" t="s">
        <v>432</v>
      </c>
      <c r="AS18" s="495"/>
      <c r="AT18" s="496"/>
      <c r="AU18" s="496"/>
      <c r="AV18" s="497"/>
    </row>
    <row r="19" spans="1:68" ht="54" customHeight="1" x14ac:dyDescent="0.25">
      <c r="A19" s="21"/>
      <c r="B19" s="21"/>
      <c r="C19" s="21"/>
      <c r="D19" s="21"/>
      <c r="E19" s="21"/>
      <c r="F19" s="21"/>
      <c r="G19" s="21"/>
      <c r="H19" s="21"/>
      <c r="I19" s="21"/>
      <c r="J19" s="21"/>
      <c r="K19" s="21"/>
      <c r="L19" s="21"/>
      <c r="M19" s="21"/>
      <c r="N19" s="21"/>
      <c r="O19" s="21"/>
      <c r="P19" s="21"/>
      <c r="Q19" s="21"/>
      <c r="R19" s="21"/>
      <c r="S19" s="21"/>
      <c r="T19" s="21"/>
      <c r="U19" s="21"/>
      <c r="V19" s="21"/>
      <c r="W19" s="21"/>
      <c r="Y19" s="388" t="s">
        <v>433</v>
      </c>
      <c r="Z19" s="388"/>
      <c r="AA19" s="58">
        <f>AVERAGE(AA7,AA12,AA13,AA16,AA17,AA18)</f>
        <v>8.6500000000000007E-2</v>
      </c>
      <c r="AC19" s="388" t="s">
        <v>434</v>
      </c>
      <c r="AD19" s="388"/>
      <c r="AE19" s="58">
        <f>AVERAGE(AE7,AE8,AE9,AE10,AE11,AE12,AE13,AE14,AE15)</f>
        <v>0.1111111111111111</v>
      </c>
      <c r="AG19" s="388" t="s">
        <v>433</v>
      </c>
      <c r="AH19" s="388"/>
      <c r="AI19" s="58">
        <f>AVERAGE(AI7:AI18)</f>
        <v>0.18066666666666664</v>
      </c>
      <c r="AK19" s="388" t="s">
        <v>434</v>
      </c>
      <c r="AL19" s="388"/>
      <c r="AM19" s="58">
        <f>AVERAGE(AM7:AM15)</f>
        <v>0.17555555555555558</v>
      </c>
      <c r="AO19" s="388" t="s">
        <v>433</v>
      </c>
      <c r="AP19" s="388"/>
      <c r="AQ19" s="58">
        <f>AVERAGE(AQ7:AQ18)</f>
        <v>0.3</v>
      </c>
      <c r="AS19" s="388" t="s">
        <v>434</v>
      </c>
      <c r="AT19" s="388"/>
      <c r="AU19" s="58">
        <f>AVERAGE(AU7:AU15)</f>
        <v>0.31374999999999997</v>
      </c>
    </row>
    <row r="20" spans="1:68" s="21" customFormat="1" ht="22.5" customHeight="1" x14ac:dyDescent="0.25">
      <c r="AW20" s="319"/>
      <c r="AX20" s="319"/>
      <c r="AY20" s="319"/>
      <c r="AZ20" s="319"/>
      <c r="BA20" s="319"/>
      <c r="BB20" s="319"/>
      <c r="BC20" s="319"/>
      <c r="BD20" s="319"/>
      <c r="BE20" s="319"/>
      <c r="BF20" s="319"/>
      <c r="BG20" s="319"/>
      <c r="BH20" s="319"/>
      <c r="BI20" s="319"/>
      <c r="BJ20" s="319"/>
      <c r="BK20" s="319"/>
      <c r="BL20" s="319"/>
      <c r="BM20" s="319"/>
      <c r="BN20" s="319"/>
      <c r="BO20" s="319"/>
      <c r="BP20" s="319"/>
    </row>
    <row r="21" spans="1:68" s="21" customFormat="1" ht="22.5" customHeight="1" x14ac:dyDescent="0.25">
      <c r="AW21" s="319"/>
      <c r="AX21" s="319"/>
      <c r="AY21" s="319"/>
      <c r="AZ21" s="319"/>
      <c r="BA21" s="319"/>
      <c r="BB21" s="319"/>
      <c r="BC21" s="319"/>
      <c r="BD21" s="319"/>
      <c r="BE21" s="319"/>
      <c r="BF21" s="319"/>
      <c r="BG21" s="319"/>
      <c r="BH21" s="319"/>
      <c r="BI21" s="319"/>
      <c r="BJ21" s="319"/>
      <c r="BK21" s="319"/>
      <c r="BL21" s="319"/>
      <c r="BM21" s="319"/>
      <c r="BN21" s="319"/>
      <c r="BO21" s="319"/>
      <c r="BP21" s="319"/>
    </row>
    <row r="22" spans="1:68" s="21" customFormat="1" ht="22.5" customHeight="1" x14ac:dyDescent="0.25">
      <c r="AW22" s="319"/>
      <c r="AX22" s="319"/>
      <c r="AY22" s="319"/>
      <c r="AZ22" s="319"/>
      <c r="BA22" s="319"/>
      <c r="BB22" s="319"/>
      <c r="BC22" s="319"/>
      <c r="BD22" s="319"/>
      <c r="BE22" s="319"/>
      <c r="BF22" s="319"/>
      <c r="BG22" s="319"/>
      <c r="BH22" s="319"/>
      <c r="BI22" s="319"/>
      <c r="BJ22" s="319"/>
      <c r="BK22" s="319"/>
      <c r="BL22" s="319"/>
      <c r="BM22" s="319"/>
      <c r="BN22" s="319"/>
      <c r="BO22" s="319"/>
      <c r="BP22" s="319"/>
    </row>
    <row r="23" spans="1:68" s="21" customFormat="1" ht="22.5" customHeight="1" x14ac:dyDescent="0.25">
      <c r="AW23" s="319"/>
      <c r="AX23" s="319"/>
      <c r="AY23" s="319"/>
      <c r="AZ23" s="319"/>
      <c r="BA23" s="319"/>
      <c r="BB23" s="319"/>
      <c r="BC23" s="319"/>
      <c r="BD23" s="319"/>
      <c r="BE23" s="319"/>
      <c r="BF23" s="319"/>
      <c r="BG23" s="319"/>
      <c r="BH23" s="319"/>
      <c r="BI23" s="319"/>
      <c r="BJ23" s="319"/>
      <c r="BK23" s="319"/>
      <c r="BL23" s="319"/>
      <c r="BM23" s="319"/>
      <c r="BN23" s="319"/>
      <c r="BO23" s="319"/>
      <c r="BP23" s="319"/>
    </row>
    <row r="24" spans="1:68" s="21" customFormat="1" ht="22.5" customHeight="1" x14ac:dyDescent="0.25">
      <c r="AW24" s="319"/>
      <c r="AX24" s="319"/>
      <c r="AY24" s="319"/>
      <c r="AZ24" s="319"/>
      <c r="BA24" s="319"/>
      <c r="BB24" s="319"/>
      <c r="BC24" s="319"/>
      <c r="BD24" s="319"/>
      <c r="BE24" s="319"/>
      <c r="BF24" s="319"/>
      <c r="BG24" s="319"/>
      <c r="BH24" s="319"/>
      <c r="BI24" s="319"/>
      <c r="BJ24" s="319"/>
      <c r="BK24" s="319"/>
      <c r="BL24" s="319"/>
      <c r="BM24" s="319"/>
      <c r="BN24" s="319"/>
      <c r="BO24" s="319"/>
      <c r="BP24" s="319"/>
    </row>
    <row r="25" spans="1:68" s="21" customFormat="1" ht="22.5" customHeight="1" x14ac:dyDescent="0.25">
      <c r="AW25" s="319"/>
      <c r="AX25" s="319"/>
      <c r="AY25" s="319"/>
      <c r="AZ25" s="319"/>
      <c r="BA25" s="319"/>
      <c r="BB25" s="319"/>
      <c r="BC25" s="319"/>
      <c r="BD25" s="319"/>
      <c r="BE25" s="319"/>
      <c r="BF25" s="319"/>
      <c r="BG25" s="319"/>
      <c r="BH25" s="319"/>
      <c r="BI25" s="319"/>
      <c r="BJ25" s="319"/>
      <c r="BK25" s="319"/>
      <c r="BL25" s="319"/>
      <c r="BM25" s="319"/>
      <c r="BN25" s="319"/>
      <c r="BO25" s="319"/>
      <c r="BP25" s="319"/>
    </row>
    <row r="26" spans="1:68" s="21" customFormat="1" ht="22.5" customHeight="1" x14ac:dyDescent="0.25">
      <c r="AW26" s="319"/>
      <c r="AX26" s="319"/>
      <c r="AY26" s="319"/>
      <c r="AZ26" s="319"/>
      <c r="BA26" s="319"/>
      <c r="BB26" s="319"/>
      <c r="BC26" s="319"/>
      <c r="BD26" s="319"/>
      <c r="BE26" s="319"/>
      <c r="BF26" s="319"/>
      <c r="BG26" s="319"/>
      <c r="BH26" s="319"/>
      <c r="BI26" s="319"/>
      <c r="BJ26" s="319"/>
      <c r="BK26" s="319"/>
      <c r="BL26" s="319"/>
      <c r="BM26" s="319"/>
      <c r="BN26" s="319"/>
      <c r="BO26" s="319"/>
      <c r="BP26" s="319"/>
    </row>
    <row r="27" spans="1:68" s="21" customFormat="1" ht="22.5" customHeight="1" x14ac:dyDescent="0.25">
      <c r="AW27" s="319"/>
      <c r="AX27" s="319"/>
      <c r="AY27" s="319"/>
      <c r="AZ27" s="319"/>
      <c r="BA27" s="319"/>
      <c r="BB27" s="319"/>
      <c r="BC27" s="319"/>
      <c r="BD27" s="319"/>
      <c r="BE27" s="319"/>
      <c r="BF27" s="319"/>
      <c r="BG27" s="319"/>
      <c r="BH27" s="319"/>
      <c r="BI27" s="319"/>
      <c r="BJ27" s="319"/>
      <c r="BK27" s="319"/>
      <c r="BL27" s="319"/>
      <c r="BM27" s="319"/>
      <c r="BN27" s="319"/>
      <c r="BO27" s="319"/>
      <c r="BP27" s="319"/>
    </row>
    <row r="28" spans="1:68" s="21" customFormat="1" ht="22.5" customHeight="1" x14ac:dyDescent="0.25">
      <c r="AW28" s="319"/>
      <c r="AX28" s="319"/>
      <c r="AY28" s="319"/>
      <c r="AZ28" s="319"/>
      <c r="BA28" s="319"/>
      <c r="BB28" s="319"/>
      <c r="BC28" s="319"/>
      <c r="BD28" s="319"/>
      <c r="BE28" s="319"/>
      <c r="BF28" s="319"/>
      <c r="BG28" s="319"/>
      <c r="BH28" s="319"/>
      <c r="BI28" s="319"/>
      <c r="BJ28" s="319"/>
      <c r="BK28" s="319"/>
      <c r="BL28" s="319"/>
      <c r="BM28" s="319"/>
      <c r="BN28" s="319"/>
      <c r="BO28" s="319"/>
      <c r="BP28" s="319"/>
    </row>
    <row r="29" spans="1:68" s="21" customFormat="1" ht="22.5" customHeight="1" x14ac:dyDescent="0.25">
      <c r="AW29" s="319"/>
      <c r="AX29" s="319"/>
      <c r="AY29" s="319"/>
      <c r="AZ29" s="319"/>
      <c r="BA29" s="319"/>
      <c r="BB29" s="319"/>
      <c r="BC29" s="319"/>
      <c r="BD29" s="319"/>
      <c r="BE29" s="319"/>
      <c r="BF29" s="319"/>
      <c r="BG29" s="319"/>
      <c r="BH29" s="319"/>
      <c r="BI29" s="319"/>
      <c r="BJ29" s="319"/>
      <c r="BK29" s="319"/>
      <c r="BL29" s="319"/>
      <c r="BM29" s="319"/>
      <c r="BN29" s="319"/>
      <c r="BO29" s="319"/>
      <c r="BP29" s="319"/>
    </row>
    <row r="30" spans="1:68" s="21" customFormat="1" ht="22.5" customHeight="1" x14ac:dyDescent="0.25">
      <c r="AW30" s="319"/>
      <c r="AX30" s="319"/>
      <c r="AY30" s="319"/>
      <c r="AZ30" s="319"/>
      <c r="BA30" s="319"/>
      <c r="BB30" s="319"/>
      <c r="BC30" s="319"/>
      <c r="BD30" s="319"/>
      <c r="BE30" s="319"/>
      <c r="BF30" s="319"/>
      <c r="BG30" s="319"/>
      <c r="BH30" s="319"/>
      <c r="BI30" s="319"/>
      <c r="BJ30" s="319"/>
      <c r="BK30" s="319"/>
      <c r="BL30" s="319"/>
      <c r="BM30" s="319"/>
      <c r="BN30" s="319"/>
      <c r="BO30" s="319"/>
      <c r="BP30" s="319"/>
    </row>
    <row r="31" spans="1:68" s="21" customFormat="1" ht="22.5" customHeight="1" x14ac:dyDescent="0.25">
      <c r="AW31" s="319"/>
      <c r="AX31" s="319"/>
      <c r="AY31" s="319"/>
      <c r="AZ31" s="319"/>
      <c r="BA31" s="319"/>
      <c r="BB31" s="319"/>
      <c r="BC31" s="319"/>
      <c r="BD31" s="319"/>
      <c r="BE31" s="319"/>
      <c r="BF31" s="319"/>
      <c r="BG31" s="319"/>
      <c r="BH31" s="319"/>
      <c r="BI31" s="319"/>
      <c r="BJ31" s="319"/>
      <c r="BK31" s="319"/>
      <c r="BL31" s="319"/>
      <c r="BM31" s="319"/>
      <c r="BN31" s="319"/>
      <c r="BO31" s="319"/>
      <c r="BP31" s="319"/>
    </row>
    <row r="32" spans="1:68" s="21" customFormat="1" ht="22.5" customHeight="1" x14ac:dyDescent="0.25">
      <c r="AW32" s="319"/>
      <c r="AX32" s="319"/>
      <c r="AY32" s="319"/>
      <c r="AZ32" s="319"/>
      <c r="BA32" s="319"/>
      <c r="BB32" s="319"/>
      <c r="BC32" s="319"/>
      <c r="BD32" s="319"/>
      <c r="BE32" s="319"/>
      <c r="BF32" s="319"/>
      <c r="BG32" s="319"/>
      <c r="BH32" s="319"/>
      <c r="BI32" s="319"/>
      <c r="BJ32" s="319"/>
      <c r="BK32" s="319"/>
      <c r="BL32" s="319"/>
      <c r="BM32" s="319"/>
      <c r="BN32" s="319"/>
      <c r="BO32" s="319"/>
      <c r="BP32" s="319"/>
    </row>
    <row r="33" spans="49:68" s="21" customFormat="1" ht="22.5" customHeight="1" x14ac:dyDescent="0.25">
      <c r="AW33" s="319"/>
      <c r="AX33" s="319"/>
      <c r="AY33" s="319"/>
      <c r="AZ33" s="319"/>
      <c r="BA33" s="319"/>
      <c r="BB33" s="319"/>
      <c r="BC33" s="319"/>
      <c r="BD33" s="319"/>
      <c r="BE33" s="319"/>
      <c r="BF33" s="319"/>
      <c r="BG33" s="319"/>
      <c r="BH33" s="319"/>
      <c r="BI33" s="319"/>
      <c r="BJ33" s="319"/>
      <c r="BK33" s="319"/>
      <c r="BL33" s="319"/>
      <c r="BM33" s="319"/>
      <c r="BN33" s="319"/>
      <c r="BO33" s="319"/>
      <c r="BP33" s="319"/>
    </row>
    <row r="34" spans="49:68" s="21" customFormat="1" ht="22.5" customHeight="1" x14ac:dyDescent="0.25">
      <c r="AW34" s="319"/>
      <c r="AX34" s="319"/>
      <c r="AY34" s="319"/>
      <c r="AZ34" s="319"/>
      <c r="BA34" s="319"/>
      <c r="BB34" s="319"/>
      <c r="BC34" s="319"/>
      <c r="BD34" s="319"/>
      <c r="BE34" s="319"/>
      <c r="BF34" s="319"/>
      <c r="BG34" s="319"/>
      <c r="BH34" s="319"/>
      <c r="BI34" s="319"/>
      <c r="BJ34" s="319"/>
      <c r="BK34" s="319"/>
      <c r="BL34" s="319"/>
      <c r="BM34" s="319"/>
      <c r="BN34" s="319"/>
      <c r="BO34" s="319"/>
      <c r="BP34" s="319"/>
    </row>
    <row r="35" spans="49:68" s="21" customFormat="1" ht="22.5" customHeight="1" x14ac:dyDescent="0.25">
      <c r="AW35" s="319"/>
      <c r="AX35" s="319"/>
      <c r="AY35" s="319"/>
      <c r="AZ35" s="319"/>
      <c r="BA35" s="319"/>
      <c r="BB35" s="319"/>
      <c r="BC35" s="319"/>
      <c r="BD35" s="319"/>
      <c r="BE35" s="319"/>
      <c r="BF35" s="319"/>
      <c r="BG35" s="319"/>
      <c r="BH35" s="319"/>
      <c r="BI35" s="319"/>
      <c r="BJ35" s="319"/>
      <c r="BK35" s="319"/>
      <c r="BL35" s="319"/>
      <c r="BM35" s="319"/>
      <c r="BN35" s="319"/>
      <c r="BO35" s="319"/>
      <c r="BP35" s="319"/>
    </row>
    <row r="36" spans="49:68" s="21" customFormat="1" ht="22.5" customHeight="1" x14ac:dyDescent="0.25">
      <c r="AW36" s="319"/>
      <c r="AX36" s="319"/>
      <c r="AY36" s="319"/>
      <c r="AZ36" s="319"/>
      <c r="BA36" s="319"/>
      <c r="BB36" s="319"/>
      <c r="BC36" s="319"/>
      <c r="BD36" s="319"/>
      <c r="BE36" s="319"/>
      <c r="BF36" s="319"/>
      <c r="BG36" s="319"/>
      <c r="BH36" s="319"/>
      <c r="BI36" s="319"/>
      <c r="BJ36" s="319"/>
      <c r="BK36" s="319"/>
      <c r="BL36" s="319"/>
      <c r="BM36" s="319"/>
      <c r="BN36" s="319"/>
      <c r="BO36" s="319"/>
      <c r="BP36" s="319"/>
    </row>
    <row r="37" spans="49:68" s="21" customFormat="1" ht="22.5" customHeight="1" x14ac:dyDescent="0.25">
      <c r="AW37" s="319"/>
      <c r="AX37" s="319"/>
      <c r="AY37" s="319"/>
      <c r="AZ37" s="319"/>
      <c r="BA37" s="319"/>
      <c r="BB37" s="319"/>
      <c r="BC37" s="319"/>
      <c r="BD37" s="319"/>
      <c r="BE37" s="319"/>
      <c r="BF37" s="319"/>
      <c r="BG37" s="319"/>
      <c r="BH37" s="319"/>
      <c r="BI37" s="319"/>
      <c r="BJ37" s="319"/>
      <c r="BK37" s="319"/>
      <c r="BL37" s="319"/>
      <c r="BM37" s="319"/>
      <c r="BN37" s="319"/>
      <c r="BO37" s="319"/>
      <c r="BP37" s="319"/>
    </row>
    <row r="38" spans="49:68" s="21" customFormat="1" ht="22.5" customHeight="1" x14ac:dyDescent="0.25">
      <c r="AW38" s="319"/>
      <c r="AX38" s="319"/>
      <c r="AY38" s="319"/>
      <c r="AZ38" s="319"/>
      <c r="BA38" s="319"/>
      <c r="BB38" s="319"/>
      <c r="BC38" s="319"/>
      <c r="BD38" s="319"/>
      <c r="BE38" s="319"/>
      <c r="BF38" s="319"/>
      <c r="BG38" s="319"/>
      <c r="BH38" s="319"/>
      <c r="BI38" s="319"/>
      <c r="BJ38" s="319"/>
      <c r="BK38" s="319"/>
      <c r="BL38" s="319"/>
      <c r="BM38" s="319"/>
      <c r="BN38" s="319"/>
      <c r="BO38" s="319"/>
      <c r="BP38" s="319"/>
    </row>
    <row r="39" spans="49:68" s="21" customFormat="1" ht="22.5" customHeight="1" x14ac:dyDescent="0.25">
      <c r="AW39" s="319"/>
      <c r="AX39" s="319"/>
      <c r="AY39" s="319"/>
      <c r="AZ39" s="319"/>
      <c r="BA39" s="319"/>
      <c r="BB39" s="319"/>
      <c r="BC39" s="319"/>
      <c r="BD39" s="319"/>
      <c r="BE39" s="319"/>
      <c r="BF39" s="319"/>
      <c r="BG39" s="319"/>
      <c r="BH39" s="319"/>
      <c r="BI39" s="319"/>
      <c r="BJ39" s="319"/>
      <c r="BK39" s="319"/>
      <c r="BL39" s="319"/>
      <c r="BM39" s="319"/>
      <c r="BN39" s="319"/>
      <c r="BO39" s="319"/>
      <c r="BP39" s="319"/>
    </row>
    <row r="40" spans="49:68" s="21" customFormat="1" ht="22.5" customHeight="1" x14ac:dyDescent="0.25">
      <c r="AW40" s="319"/>
      <c r="AX40" s="319"/>
      <c r="AY40" s="319"/>
      <c r="AZ40" s="319"/>
      <c r="BA40" s="319"/>
      <c r="BB40" s="319"/>
      <c r="BC40" s="319"/>
      <c r="BD40" s="319"/>
      <c r="BE40" s="319"/>
      <c r="BF40" s="319"/>
      <c r="BG40" s="319"/>
      <c r="BH40" s="319"/>
      <c r="BI40" s="319"/>
      <c r="BJ40" s="319"/>
      <c r="BK40" s="319"/>
      <c r="BL40" s="319"/>
      <c r="BM40" s="319"/>
      <c r="BN40" s="319"/>
      <c r="BO40" s="319"/>
      <c r="BP40" s="319"/>
    </row>
    <row r="41" spans="49:68" s="21" customFormat="1" ht="22.5" customHeight="1" x14ac:dyDescent="0.25">
      <c r="AW41" s="319"/>
      <c r="AX41" s="319"/>
      <c r="AY41" s="319"/>
      <c r="AZ41" s="319"/>
      <c r="BA41" s="319"/>
      <c r="BB41" s="319"/>
      <c r="BC41" s="319"/>
      <c r="BD41" s="319"/>
      <c r="BE41" s="319"/>
      <c r="BF41" s="319"/>
      <c r="BG41" s="319"/>
      <c r="BH41" s="319"/>
      <c r="BI41" s="319"/>
      <c r="BJ41" s="319"/>
      <c r="BK41" s="319"/>
      <c r="BL41" s="319"/>
      <c r="BM41" s="319"/>
      <c r="BN41" s="319"/>
      <c r="BO41" s="319"/>
      <c r="BP41" s="319"/>
    </row>
    <row r="42" spans="49:68" s="21" customFormat="1" ht="22.5" customHeight="1" x14ac:dyDescent="0.25">
      <c r="AW42" s="319"/>
      <c r="AX42" s="319"/>
      <c r="AY42" s="319"/>
      <c r="AZ42" s="319"/>
      <c r="BA42" s="319"/>
      <c r="BB42" s="319"/>
      <c r="BC42" s="319"/>
      <c r="BD42" s="319"/>
      <c r="BE42" s="319"/>
      <c r="BF42" s="319"/>
      <c r="BG42" s="319"/>
      <c r="BH42" s="319"/>
      <c r="BI42" s="319"/>
      <c r="BJ42" s="319"/>
      <c r="BK42" s="319"/>
      <c r="BL42" s="319"/>
      <c r="BM42" s="319"/>
      <c r="BN42" s="319"/>
      <c r="BO42" s="319"/>
      <c r="BP42" s="319"/>
    </row>
    <row r="43" spans="49:68" s="21" customFormat="1" ht="22.5" customHeight="1" x14ac:dyDescent="0.25">
      <c r="AW43" s="319"/>
      <c r="AX43" s="319"/>
      <c r="AY43" s="319"/>
      <c r="AZ43" s="319"/>
      <c r="BA43" s="319"/>
      <c r="BB43" s="319"/>
      <c r="BC43" s="319"/>
      <c r="BD43" s="319"/>
      <c r="BE43" s="319"/>
      <c r="BF43" s="319"/>
      <c r="BG43" s="319"/>
      <c r="BH43" s="319"/>
      <c r="BI43" s="319"/>
      <c r="BJ43" s="319"/>
      <c r="BK43" s="319"/>
      <c r="BL43" s="319"/>
      <c r="BM43" s="319"/>
      <c r="BN43" s="319"/>
      <c r="BO43" s="319"/>
      <c r="BP43" s="319"/>
    </row>
    <row r="44" spans="49:68" s="21" customFormat="1" ht="22.5" customHeight="1" x14ac:dyDescent="0.25">
      <c r="AW44" s="319"/>
      <c r="AX44" s="319"/>
      <c r="AY44" s="319"/>
      <c r="AZ44" s="319"/>
      <c r="BA44" s="319"/>
      <c r="BB44" s="319"/>
      <c r="BC44" s="319"/>
      <c r="BD44" s="319"/>
      <c r="BE44" s="319"/>
      <c r="BF44" s="319"/>
      <c r="BG44" s="319"/>
      <c r="BH44" s="319"/>
      <c r="BI44" s="319"/>
      <c r="BJ44" s="319"/>
      <c r="BK44" s="319"/>
      <c r="BL44" s="319"/>
      <c r="BM44" s="319"/>
      <c r="BN44" s="319"/>
      <c r="BO44" s="319"/>
      <c r="BP44" s="319"/>
    </row>
    <row r="45" spans="49:68" s="21" customFormat="1" ht="22.5" customHeight="1" x14ac:dyDescent="0.25">
      <c r="AW45" s="319"/>
      <c r="AX45" s="319"/>
      <c r="AY45" s="319"/>
      <c r="AZ45" s="319"/>
      <c r="BA45" s="319"/>
      <c r="BB45" s="319"/>
      <c r="BC45" s="319"/>
      <c r="BD45" s="319"/>
      <c r="BE45" s="319"/>
      <c r="BF45" s="319"/>
      <c r="BG45" s="319"/>
      <c r="BH45" s="319"/>
      <c r="BI45" s="319"/>
      <c r="BJ45" s="319"/>
      <c r="BK45" s="319"/>
      <c r="BL45" s="319"/>
      <c r="BM45" s="319"/>
      <c r="BN45" s="319"/>
      <c r="BO45" s="319"/>
      <c r="BP45" s="319"/>
    </row>
    <row r="46" spans="49:68" s="21" customFormat="1" ht="22.5" customHeight="1" x14ac:dyDescent="0.25">
      <c r="AW46" s="319"/>
      <c r="AX46" s="319"/>
      <c r="AY46" s="319"/>
      <c r="AZ46" s="319"/>
      <c r="BA46" s="319"/>
      <c r="BB46" s="319"/>
      <c r="BC46" s="319"/>
      <c r="BD46" s="319"/>
      <c r="BE46" s="319"/>
      <c r="BF46" s="319"/>
      <c r="BG46" s="319"/>
      <c r="BH46" s="319"/>
      <c r="BI46" s="319"/>
      <c r="BJ46" s="319"/>
      <c r="BK46" s="319"/>
      <c r="BL46" s="319"/>
      <c r="BM46" s="319"/>
      <c r="BN46" s="319"/>
      <c r="BO46" s="319"/>
      <c r="BP46" s="319"/>
    </row>
    <row r="47" spans="49:68" s="21" customFormat="1" ht="22.5" customHeight="1" x14ac:dyDescent="0.25">
      <c r="AW47" s="319"/>
      <c r="AX47" s="319"/>
      <c r="AY47" s="319"/>
      <c r="AZ47" s="319"/>
      <c r="BA47" s="319"/>
      <c r="BB47" s="319"/>
      <c r="BC47" s="319"/>
      <c r="BD47" s="319"/>
      <c r="BE47" s="319"/>
      <c r="BF47" s="319"/>
      <c r="BG47" s="319"/>
      <c r="BH47" s="319"/>
      <c r="BI47" s="319"/>
      <c r="BJ47" s="319"/>
      <c r="BK47" s="319"/>
      <c r="BL47" s="319"/>
      <c r="BM47" s="319"/>
      <c r="BN47" s="319"/>
      <c r="BO47" s="319"/>
      <c r="BP47" s="319"/>
    </row>
    <row r="48" spans="49:68" s="21" customFormat="1" ht="22.5" customHeight="1" x14ac:dyDescent="0.25">
      <c r="AW48" s="319"/>
      <c r="AX48" s="319"/>
      <c r="AY48" s="319"/>
      <c r="AZ48" s="319"/>
      <c r="BA48" s="319"/>
      <c r="BB48" s="319"/>
      <c r="BC48" s="319"/>
      <c r="BD48" s="319"/>
      <c r="BE48" s="319"/>
      <c r="BF48" s="319"/>
      <c r="BG48" s="319"/>
      <c r="BH48" s="319"/>
      <c r="BI48" s="319"/>
      <c r="BJ48" s="319"/>
      <c r="BK48" s="319"/>
      <c r="BL48" s="319"/>
      <c r="BM48" s="319"/>
      <c r="BN48" s="319"/>
      <c r="BO48" s="319"/>
      <c r="BP48" s="319"/>
    </row>
    <row r="49" spans="49:68" s="21" customFormat="1" ht="22.5" customHeight="1" x14ac:dyDescent="0.25">
      <c r="AW49" s="319"/>
      <c r="AX49" s="319"/>
      <c r="AY49" s="319"/>
      <c r="AZ49" s="319"/>
      <c r="BA49" s="319"/>
      <c r="BB49" s="319"/>
      <c r="BC49" s="319"/>
      <c r="BD49" s="319"/>
      <c r="BE49" s="319"/>
      <c r="BF49" s="319"/>
      <c r="BG49" s="319"/>
      <c r="BH49" s="319"/>
      <c r="BI49" s="319"/>
      <c r="BJ49" s="319"/>
      <c r="BK49" s="319"/>
      <c r="BL49" s="319"/>
      <c r="BM49" s="319"/>
      <c r="BN49" s="319"/>
      <c r="BO49" s="319"/>
      <c r="BP49" s="319"/>
    </row>
    <row r="50" spans="49:68" s="21" customFormat="1" ht="22.5" customHeight="1" x14ac:dyDescent="0.25">
      <c r="AW50" s="319"/>
      <c r="AX50" s="319"/>
      <c r="AY50" s="319"/>
      <c r="AZ50" s="319"/>
      <c r="BA50" s="319"/>
      <c r="BB50" s="319"/>
      <c r="BC50" s="319"/>
      <c r="BD50" s="319"/>
      <c r="BE50" s="319"/>
      <c r="BF50" s="319"/>
      <c r="BG50" s="319"/>
      <c r="BH50" s="319"/>
      <c r="BI50" s="319"/>
      <c r="BJ50" s="319"/>
      <c r="BK50" s="319"/>
      <c r="BL50" s="319"/>
      <c r="BM50" s="319"/>
      <c r="BN50" s="319"/>
      <c r="BO50" s="319"/>
      <c r="BP50" s="319"/>
    </row>
    <row r="51" spans="49:68" s="21" customFormat="1" ht="22.5" customHeight="1" x14ac:dyDescent="0.25">
      <c r="AW51" s="319"/>
      <c r="AX51" s="319"/>
      <c r="AY51" s="319"/>
      <c r="AZ51" s="319"/>
      <c r="BA51" s="319"/>
      <c r="BB51" s="319"/>
      <c r="BC51" s="319"/>
      <c r="BD51" s="319"/>
      <c r="BE51" s="319"/>
      <c r="BF51" s="319"/>
      <c r="BG51" s="319"/>
      <c r="BH51" s="319"/>
      <c r="BI51" s="319"/>
      <c r="BJ51" s="319"/>
      <c r="BK51" s="319"/>
      <c r="BL51" s="319"/>
      <c r="BM51" s="319"/>
      <c r="BN51" s="319"/>
      <c r="BO51" s="319"/>
      <c r="BP51" s="319"/>
    </row>
    <row r="52" spans="49:68" s="21" customFormat="1" ht="22.5" customHeight="1" x14ac:dyDescent="0.25">
      <c r="AW52" s="319"/>
      <c r="AX52" s="319"/>
      <c r="AY52" s="319"/>
      <c r="AZ52" s="319"/>
      <c r="BA52" s="319"/>
      <c r="BB52" s="319"/>
      <c r="BC52" s="319"/>
      <c r="BD52" s="319"/>
      <c r="BE52" s="319"/>
      <c r="BF52" s="319"/>
      <c r="BG52" s="319"/>
      <c r="BH52" s="319"/>
      <c r="BI52" s="319"/>
      <c r="BJ52" s="319"/>
      <c r="BK52" s="319"/>
      <c r="BL52" s="319"/>
      <c r="BM52" s="319"/>
      <c r="BN52" s="319"/>
      <c r="BO52" s="319"/>
      <c r="BP52" s="319"/>
    </row>
    <row r="53" spans="49:68" s="21" customFormat="1" ht="22.5" customHeight="1" x14ac:dyDescent="0.25">
      <c r="AW53" s="319"/>
      <c r="AX53" s="319"/>
      <c r="AY53" s="319"/>
      <c r="AZ53" s="319"/>
      <c r="BA53" s="319"/>
      <c r="BB53" s="319"/>
      <c r="BC53" s="319"/>
      <c r="BD53" s="319"/>
      <c r="BE53" s="319"/>
      <c r="BF53" s="319"/>
      <c r="BG53" s="319"/>
      <c r="BH53" s="319"/>
      <c r="BI53" s="319"/>
      <c r="BJ53" s="319"/>
      <c r="BK53" s="319"/>
      <c r="BL53" s="319"/>
      <c r="BM53" s="319"/>
      <c r="BN53" s="319"/>
      <c r="BO53" s="319"/>
      <c r="BP53" s="319"/>
    </row>
    <row r="54" spans="49:68" s="21" customFormat="1" ht="22.5" customHeight="1" x14ac:dyDescent="0.25">
      <c r="AW54" s="319"/>
      <c r="AX54" s="319"/>
      <c r="AY54" s="319"/>
      <c r="AZ54" s="319"/>
      <c r="BA54" s="319"/>
      <c r="BB54" s="319"/>
      <c r="BC54" s="319"/>
      <c r="BD54" s="319"/>
      <c r="BE54" s="319"/>
      <c r="BF54" s="319"/>
      <c r="BG54" s="319"/>
      <c r="BH54" s="319"/>
      <c r="BI54" s="319"/>
      <c r="BJ54" s="319"/>
      <c r="BK54" s="319"/>
      <c r="BL54" s="319"/>
      <c r="BM54" s="319"/>
      <c r="BN54" s="319"/>
      <c r="BO54" s="319"/>
      <c r="BP54" s="319"/>
    </row>
    <row r="55" spans="49:68" s="21" customFormat="1" ht="22.5" customHeight="1" x14ac:dyDescent="0.25">
      <c r="AW55" s="319"/>
      <c r="AX55" s="319"/>
      <c r="AY55" s="319"/>
      <c r="AZ55" s="319"/>
      <c r="BA55" s="319"/>
      <c r="BB55" s="319"/>
      <c r="BC55" s="319"/>
      <c r="BD55" s="319"/>
      <c r="BE55" s="319"/>
      <c r="BF55" s="319"/>
      <c r="BG55" s="319"/>
      <c r="BH55" s="319"/>
      <c r="BI55" s="319"/>
      <c r="BJ55" s="319"/>
      <c r="BK55" s="319"/>
      <c r="BL55" s="319"/>
      <c r="BM55" s="319"/>
      <c r="BN55" s="319"/>
      <c r="BO55" s="319"/>
      <c r="BP55" s="319"/>
    </row>
    <row r="56" spans="49:68" s="21" customFormat="1" ht="22.5" customHeight="1" x14ac:dyDescent="0.25">
      <c r="AW56" s="319"/>
      <c r="AX56" s="319"/>
      <c r="AY56" s="319"/>
      <c r="AZ56" s="319"/>
      <c r="BA56" s="319"/>
      <c r="BB56" s="319"/>
      <c r="BC56" s="319"/>
      <c r="BD56" s="319"/>
      <c r="BE56" s="319"/>
      <c r="BF56" s="319"/>
      <c r="BG56" s="319"/>
      <c r="BH56" s="319"/>
      <c r="BI56" s="319"/>
      <c r="BJ56" s="319"/>
      <c r="BK56" s="319"/>
      <c r="BL56" s="319"/>
      <c r="BM56" s="319"/>
      <c r="BN56" s="319"/>
      <c r="BO56" s="319"/>
      <c r="BP56" s="319"/>
    </row>
    <row r="57" spans="49:68" s="21" customFormat="1" ht="22.5" customHeight="1" x14ac:dyDescent="0.25">
      <c r="AW57" s="319"/>
      <c r="AX57" s="319"/>
      <c r="AY57" s="319"/>
      <c r="AZ57" s="319"/>
      <c r="BA57" s="319"/>
      <c r="BB57" s="319"/>
      <c r="BC57" s="319"/>
      <c r="BD57" s="319"/>
      <c r="BE57" s="319"/>
      <c r="BF57" s="319"/>
      <c r="BG57" s="319"/>
      <c r="BH57" s="319"/>
      <c r="BI57" s="319"/>
      <c r="BJ57" s="319"/>
      <c r="BK57" s="319"/>
      <c r="BL57" s="319"/>
      <c r="BM57" s="319"/>
      <c r="BN57" s="319"/>
      <c r="BO57" s="319"/>
      <c r="BP57" s="319"/>
    </row>
    <row r="58" spans="49:68" s="21" customFormat="1" ht="22.5" customHeight="1" x14ac:dyDescent="0.25">
      <c r="AW58" s="319"/>
      <c r="AX58" s="319"/>
      <c r="AY58" s="319"/>
      <c r="AZ58" s="319"/>
      <c r="BA58" s="319"/>
      <c r="BB58" s="319"/>
      <c r="BC58" s="319"/>
      <c r="BD58" s="319"/>
      <c r="BE58" s="319"/>
      <c r="BF58" s="319"/>
      <c r="BG58" s="319"/>
      <c r="BH58" s="319"/>
      <c r="BI58" s="319"/>
      <c r="BJ58" s="319"/>
      <c r="BK58" s="319"/>
      <c r="BL58" s="319"/>
      <c r="BM58" s="319"/>
      <c r="BN58" s="319"/>
      <c r="BO58" s="319"/>
      <c r="BP58" s="319"/>
    </row>
  </sheetData>
  <sheetProtection algorithmName="SHA-512" hashValue="eNUw3Us0GALWdTGd5NIVzy7yQP0axOyvnTBXBtf0a9wVsqhyZEhAMbX2UlslNWUsUndr7ke8pnvQvswH3y65cQ==" saltValue="AQ1b5TFhiXkHf4OucNmD5A==" spinCount="100000" sheet="1" objects="1" scenarios="1" selectLockedCells="1" selectUnlockedCells="1"/>
  <mergeCells count="93">
    <mergeCell ref="AS16:AV16"/>
    <mergeCell ref="AS17:AV17"/>
    <mergeCell ref="AS18:AV18"/>
    <mergeCell ref="Y19:Z19"/>
    <mergeCell ref="AC19:AD19"/>
    <mergeCell ref="AG19:AH19"/>
    <mergeCell ref="AK19:AL19"/>
    <mergeCell ref="AO19:AP19"/>
    <mergeCell ref="AS19:AT19"/>
    <mergeCell ref="AC16:AF16"/>
    <mergeCell ref="AC17:AF17"/>
    <mergeCell ref="AC18:AF18"/>
    <mergeCell ref="AK16:AN16"/>
    <mergeCell ref="AK17:AN17"/>
    <mergeCell ref="AK18:AN18"/>
    <mergeCell ref="E13:E15"/>
    <mergeCell ref="F13:F15"/>
    <mergeCell ref="I17:I18"/>
    <mergeCell ref="Q16:U16"/>
    <mergeCell ref="Q17:U17"/>
    <mergeCell ref="Q18:U18"/>
    <mergeCell ref="AQ13:AQ15"/>
    <mergeCell ref="AR13:AR15"/>
    <mergeCell ref="AG13:AG15"/>
    <mergeCell ref="AH13:AH15"/>
    <mergeCell ref="AI13:AI15"/>
    <mergeCell ref="AJ13:AJ15"/>
    <mergeCell ref="AO13:AO15"/>
    <mergeCell ref="AP13:AP15"/>
    <mergeCell ref="AR7:AR11"/>
    <mergeCell ref="A13:A15"/>
    <mergeCell ref="B13:B15"/>
    <mergeCell ref="C13:C15"/>
    <mergeCell ref="D13:D15"/>
    <mergeCell ref="L13:L15"/>
    <mergeCell ref="M13:M15"/>
    <mergeCell ref="N13:N15"/>
    <mergeCell ref="AH7:AH11"/>
    <mergeCell ref="AI7:AI11"/>
    <mergeCell ref="AJ7:AJ11"/>
    <mergeCell ref="AO7:AO11"/>
    <mergeCell ref="AP7:AP11"/>
    <mergeCell ref="AQ7:AQ11"/>
    <mergeCell ref="Y7:Y11"/>
    <mergeCell ref="Z7:Z11"/>
    <mergeCell ref="AA7:AA11"/>
    <mergeCell ref="AB7:AB11"/>
    <mergeCell ref="X7:X18"/>
    <mergeCell ref="AG7:AG11"/>
    <mergeCell ref="Y13:Y15"/>
    <mergeCell ref="Z13:Z15"/>
    <mergeCell ref="AA13:AA15"/>
    <mergeCell ref="AB13:AB15"/>
    <mergeCell ref="F7:F11"/>
    <mergeCell ref="W7:W15"/>
    <mergeCell ref="O13:O15"/>
    <mergeCell ref="P13:P15"/>
    <mergeCell ref="G7:G18"/>
    <mergeCell ref="H7:H18"/>
    <mergeCell ref="I7:I16"/>
    <mergeCell ref="J7:J18"/>
    <mergeCell ref="K7:K18"/>
    <mergeCell ref="L7:L11"/>
    <mergeCell ref="M7:M11"/>
    <mergeCell ref="N7:N11"/>
    <mergeCell ref="O7:O11"/>
    <mergeCell ref="P7:P11"/>
    <mergeCell ref="V7:V15"/>
    <mergeCell ref="A7:A11"/>
    <mergeCell ref="B7:B11"/>
    <mergeCell ref="C7:C11"/>
    <mergeCell ref="E7:E11"/>
    <mergeCell ref="D7:D11"/>
    <mergeCell ref="Y4:AF4"/>
    <mergeCell ref="AG4:AN4"/>
    <mergeCell ref="AO4:AV4"/>
    <mergeCell ref="A5:C5"/>
    <mergeCell ref="E5:F5"/>
    <mergeCell ref="G5:I5"/>
    <mergeCell ref="J5:J6"/>
    <mergeCell ref="K5:K6"/>
    <mergeCell ref="Y5:AB5"/>
    <mergeCell ref="AC5:AF5"/>
    <mergeCell ref="AG5:AJ5"/>
    <mergeCell ref="AK5:AN5"/>
    <mergeCell ref="AO5:AR5"/>
    <mergeCell ref="AS5:AV5"/>
    <mergeCell ref="C1:X3"/>
    <mergeCell ref="A4:K4"/>
    <mergeCell ref="L4:P5"/>
    <mergeCell ref="Q4:U5"/>
    <mergeCell ref="V4:W5"/>
    <mergeCell ref="X4:X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D5F2A-ABE3-41BB-B9E4-371C26F03A12}">
  <sheetPr>
    <tabColor theme="9" tint="-0.249977111117893"/>
  </sheetPr>
  <dimension ref="A1:AAF618"/>
  <sheetViews>
    <sheetView topLeftCell="Y1" zoomScaleNormal="100" workbookViewId="0">
      <selection activeCell="AC79" sqref="AC79:AE79"/>
    </sheetView>
  </sheetViews>
  <sheetFormatPr baseColWidth="10" defaultColWidth="11.42578125" defaultRowHeight="22.5" customHeight="1" x14ac:dyDescent="0.25"/>
  <cols>
    <col min="1" max="1" width="22.42578125" style="94" customWidth="1"/>
    <col min="2" max="2" width="26.7109375" style="94" customWidth="1"/>
    <col min="3" max="3" width="23.85546875" style="94" customWidth="1"/>
    <col min="4" max="4" width="33.42578125" style="94" customWidth="1"/>
    <col min="5" max="5" width="43.42578125" style="94" customWidth="1"/>
    <col min="6" max="6" width="17.140625" style="94" customWidth="1"/>
    <col min="7" max="7" width="26.7109375" style="94" customWidth="1"/>
    <col min="8" max="8" width="16.7109375" style="94" customWidth="1"/>
    <col min="9" max="9" width="17.28515625" style="94" customWidth="1"/>
    <col min="10" max="10" width="16.85546875" style="94" customWidth="1"/>
    <col min="11" max="11" width="12.5703125" style="94" customWidth="1"/>
    <col min="12" max="12" width="29.5703125" style="94" customWidth="1"/>
    <col min="13" max="13" width="35.42578125" style="94" customWidth="1"/>
    <col min="14" max="14" width="12.28515625" style="94" customWidth="1"/>
    <col min="15" max="15" width="10.7109375" style="94" customWidth="1"/>
    <col min="16" max="16" width="12.28515625" style="94" customWidth="1"/>
    <col min="17" max="17" width="25.28515625" style="94" customWidth="1"/>
    <col min="18" max="18" width="34" style="94" customWidth="1"/>
    <col min="19" max="19" width="19.28515625" style="142" customWidth="1"/>
    <col min="20" max="20" width="11.7109375" style="94" customWidth="1"/>
    <col min="21" max="21" width="18" style="94" customWidth="1"/>
    <col min="22" max="22" width="17" style="145" customWidth="1"/>
    <col min="23" max="23" width="18.5703125" style="145" customWidth="1"/>
    <col min="24" max="24" width="20.7109375" style="94" customWidth="1"/>
    <col min="25" max="25" width="12.85546875" style="94" customWidth="1"/>
    <col min="26" max="26" width="7.140625" style="94" customWidth="1"/>
    <col min="27" max="27" width="20.7109375" style="94" customWidth="1"/>
    <col min="28" max="28" width="37.7109375" style="94" customWidth="1"/>
    <col min="29" max="29" width="11.5703125" style="94" customWidth="1"/>
    <col min="30" max="30" width="8.140625" style="94" customWidth="1"/>
    <col min="31" max="31" width="20.42578125" style="94" customWidth="1"/>
    <col min="32" max="32" width="43" style="142" customWidth="1"/>
    <col min="33" max="33" width="12.85546875" style="94" customWidth="1"/>
    <col min="34" max="34" width="7.140625" style="94" customWidth="1"/>
    <col min="35" max="35" width="20.7109375" style="94" customWidth="1"/>
    <col min="36" max="36" width="37.7109375" style="94" customWidth="1"/>
    <col min="37" max="37" width="11.5703125" style="94" customWidth="1"/>
    <col min="38" max="38" width="8.140625" style="94" customWidth="1"/>
    <col min="39" max="39" width="20.42578125" style="94" customWidth="1"/>
    <col min="40" max="40" width="43" style="142" customWidth="1"/>
    <col min="41" max="41" width="12.85546875" style="94" customWidth="1"/>
    <col min="42" max="42" width="7.140625" style="94" customWidth="1"/>
    <col min="43" max="43" width="20.7109375" style="94" customWidth="1"/>
    <col min="44" max="44" width="37.7109375" style="94" customWidth="1"/>
    <col min="45" max="45" width="11.5703125" style="94" customWidth="1"/>
    <col min="46" max="46" width="8.140625" style="94" customWidth="1"/>
    <col min="47" max="47" width="20.42578125" style="94" customWidth="1"/>
    <col min="48" max="48" width="43" style="142" customWidth="1"/>
    <col min="49" max="708" width="11.42578125" style="21"/>
    <col min="709" max="16384" width="11.42578125" style="94"/>
  </cols>
  <sheetData>
    <row r="1" spans="1:708" s="1" customFormat="1" ht="15.75" x14ac:dyDescent="0.25">
      <c r="C1" s="413" t="s">
        <v>0</v>
      </c>
      <c r="D1" s="413"/>
      <c r="E1" s="413"/>
      <c r="F1" s="413"/>
      <c r="G1" s="413"/>
      <c r="H1" s="413"/>
      <c r="I1" s="413"/>
      <c r="J1" s="413"/>
      <c r="K1" s="413"/>
      <c r="L1" s="413"/>
      <c r="M1" s="413"/>
      <c r="N1" s="413"/>
      <c r="O1" s="413"/>
      <c r="P1" s="413"/>
      <c r="Q1" s="413"/>
      <c r="R1" s="413"/>
      <c r="S1" s="413"/>
      <c r="T1" s="413"/>
      <c r="U1" s="413"/>
      <c r="V1" s="413"/>
      <c r="W1" s="413"/>
      <c r="X1" s="413"/>
      <c r="AE1" s="2"/>
      <c r="AF1" s="3"/>
      <c r="AM1" s="2"/>
      <c r="AN1" s="3"/>
      <c r="AU1" s="4" t="s">
        <v>1</v>
      </c>
      <c r="AV1" s="5">
        <v>43458</v>
      </c>
    </row>
    <row r="2" spans="1:708" s="1" customFormat="1" ht="30" customHeight="1" x14ac:dyDescent="0.25">
      <c r="C2" s="413"/>
      <c r="D2" s="413"/>
      <c r="E2" s="413"/>
      <c r="F2" s="413"/>
      <c r="G2" s="413"/>
      <c r="H2" s="413"/>
      <c r="I2" s="413"/>
      <c r="J2" s="413"/>
      <c r="K2" s="413"/>
      <c r="L2" s="413"/>
      <c r="M2" s="413"/>
      <c r="N2" s="413"/>
      <c r="O2" s="413"/>
      <c r="P2" s="413"/>
      <c r="Q2" s="413"/>
      <c r="R2" s="413"/>
      <c r="S2" s="413"/>
      <c r="T2" s="413"/>
      <c r="U2" s="413"/>
      <c r="V2" s="413"/>
      <c r="W2" s="413"/>
      <c r="X2" s="413"/>
      <c r="AE2" s="2"/>
      <c r="AF2" s="2"/>
      <c r="AM2" s="2"/>
      <c r="AN2" s="2"/>
      <c r="AU2" s="4" t="s">
        <v>2</v>
      </c>
      <c r="AV2" s="4">
        <v>5</v>
      </c>
    </row>
    <row r="3" spans="1:708" s="1" customFormat="1" ht="29.25" customHeight="1" x14ac:dyDescent="0.25">
      <c r="C3" s="413"/>
      <c r="D3" s="413"/>
      <c r="E3" s="413"/>
      <c r="F3" s="413"/>
      <c r="G3" s="413"/>
      <c r="H3" s="413"/>
      <c r="I3" s="413"/>
      <c r="J3" s="413"/>
      <c r="K3" s="413"/>
      <c r="L3" s="413"/>
      <c r="M3" s="413"/>
      <c r="N3" s="413"/>
      <c r="O3" s="413"/>
      <c r="P3" s="413"/>
      <c r="Q3" s="413"/>
      <c r="R3" s="413"/>
      <c r="S3" s="413"/>
      <c r="T3" s="413"/>
      <c r="U3" s="413"/>
      <c r="V3" s="413"/>
      <c r="W3" s="413"/>
      <c r="X3" s="413"/>
      <c r="AE3" s="2"/>
      <c r="AF3" s="2"/>
      <c r="AM3" s="2"/>
      <c r="AN3" s="2"/>
      <c r="AU3" s="4" t="s">
        <v>3</v>
      </c>
      <c r="AV3" s="4" t="s">
        <v>4</v>
      </c>
    </row>
    <row r="4" spans="1:708" s="7" customFormat="1" ht="12.75" customHeight="1" x14ac:dyDescent="0.25">
      <c r="A4" s="453" t="s">
        <v>5</v>
      </c>
      <c r="B4" s="454"/>
      <c r="C4" s="454"/>
      <c r="D4" s="454"/>
      <c r="E4" s="454"/>
      <c r="F4" s="454"/>
      <c r="G4" s="454"/>
      <c r="H4" s="454"/>
      <c r="I4" s="454"/>
      <c r="J4" s="454"/>
      <c r="K4" s="455"/>
      <c r="L4" s="456" t="s">
        <v>6</v>
      </c>
      <c r="M4" s="457"/>
      <c r="N4" s="457"/>
      <c r="O4" s="457"/>
      <c r="P4" s="458"/>
      <c r="Q4" s="456" t="s">
        <v>7</v>
      </c>
      <c r="R4" s="457"/>
      <c r="S4" s="457"/>
      <c r="T4" s="457"/>
      <c r="U4" s="458"/>
      <c r="V4" s="498" t="s">
        <v>8</v>
      </c>
      <c r="W4" s="499"/>
      <c r="X4" s="466" t="s">
        <v>9</v>
      </c>
      <c r="Y4" s="459" t="s">
        <v>10</v>
      </c>
      <c r="Z4" s="460"/>
      <c r="AA4" s="460"/>
      <c r="AB4" s="460"/>
      <c r="AC4" s="460"/>
      <c r="AD4" s="460"/>
      <c r="AE4" s="460"/>
      <c r="AF4" s="461"/>
      <c r="AG4" s="459" t="s">
        <v>11</v>
      </c>
      <c r="AH4" s="460"/>
      <c r="AI4" s="460"/>
      <c r="AJ4" s="460"/>
      <c r="AK4" s="460"/>
      <c r="AL4" s="460"/>
      <c r="AM4" s="460"/>
      <c r="AN4" s="461"/>
      <c r="AO4" s="459" t="s">
        <v>12</v>
      </c>
      <c r="AP4" s="460"/>
      <c r="AQ4" s="460"/>
      <c r="AR4" s="460"/>
      <c r="AS4" s="460"/>
      <c r="AT4" s="460"/>
      <c r="AU4" s="460"/>
      <c r="AV4" s="461"/>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row>
    <row r="5" spans="1:708" s="9" customFormat="1" ht="15" x14ac:dyDescent="0.25">
      <c r="A5" s="468" t="s">
        <v>13</v>
      </c>
      <c r="B5" s="469"/>
      <c r="C5" s="470"/>
      <c r="D5" s="8" t="s">
        <v>14</v>
      </c>
      <c r="E5" s="468" t="s">
        <v>15</v>
      </c>
      <c r="F5" s="470"/>
      <c r="G5" s="468" t="s">
        <v>16</v>
      </c>
      <c r="H5" s="469"/>
      <c r="I5" s="470"/>
      <c r="J5" s="471" t="s">
        <v>17</v>
      </c>
      <c r="K5" s="471" t="s">
        <v>18</v>
      </c>
      <c r="L5" s="459"/>
      <c r="M5" s="460"/>
      <c r="N5" s="460"/>
      <c r="O5" s="460"/>
      <c r="P5" s="461"/>
      <c r="Q5" s="459"/>
      <c r="R5" s="460"/>
      <c r="S5" s="460"/>
      <c r="T5" s="460"/>
      <c r="U5" s="461"/>
      <c r="V5" s="500"/>
      <c r="W5" s="501"/>
      <c r="X5" s="467"/>
      <c r="Y5" s="468" t="s">
        <v>19</v>
      </c>
      <c r="Z5" s="469"/>
      <c r="AA5" s="469"/>
      <c r="AB5" s="473"/>
      <c r="AC5" s="474" t="s">
        <v>20</v>
      </c>
      <c r="AD5" s="469"/>
      <c r="AE5" s="469"/>
      <c r="AF5" s="470"/>
      <c r="AG5" s="468" t="s">
        <v>19</v>
      </c>
      <c r="AH5" s="469"/>
      <c r="AI5" s="469"/>
      <c r="AJ5" s="473"/>
      <c r="AK5" s="474" t="s">
        <v>20</v>
      </c>
      <c r="AL5" s="469"/>
      <c r="AM5" s="469"/>
      <c r="AN5" s="470"/>
      <c r="AO5" s="468" t="s">
        <v>19</v>
      </c>
      <c r="AP5" s="469"/>
      <c r="AQ5" s="469"/>
      <c r="AR5" s="473"/>
      <c r="AS5" s="474" t="s">
        <v>20</v>
      </c>
      <c r="AT5" s="469"/>
      <c r="AU5" s="469"/>
      <c r="AV5" s="470"/>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row>
    <row r="6" spans="1:708" s="7" customFormat="1" ht="25.5" customHeight="1" x14ac:dyDescent="0.25">
      <c r="A6" s="10" t="s">
        <v>21</v>
      </c>
      <c r="B6" s="10" t="s">
        <v>22</v>
      </c>
      <c r="C6" s="11" t="s">
        <v>23</v>
      </c>
      <c r="D6" s="11" t="s">
        <v>24</v>
      </c>
      <c r="E6" s="11" t="s">
        <v>25</v>
      </c>
      <c r="F6" s="11" t="s">
        <v>26</v>
      </c>
      <c r="G6" s="11" t="s">
        <v>27</v>
      </c>
      <c r="H6" s="11" t="s">
        <v>28</v>
      </c>
      <c r="I6" s="11" t="s">
        <v>29</v>
      </c>
      <c r="J6" s="502"/>
      <c r="K6" s="502"/>
      <c r="L6" s="11" t="s">
        <v>6</v>
      </c>
      <c r="M6" s="11" t="s">
        <v>30</v>
      </c>
      <c r="N6" s="12" t="s">
        <v>31</v>
      </c>
      <c r="O6" s="12" t="s">
        <v>32</v>
      </c>
      <c r="P6" s="12" t="s">
        <v>33</v>
      </c>
      <c r="Q6" s="11" t="s">
        <v>7</v>
      </c>
      <c r="R6" s="11" t="s">
        <v>34</v>
      </c>
      <c r="S6" s="11" t="s">
        <v>31</v>
      </c>
      <c r="T6" s="11" t="s">
        <v>32</v>
      </c>
      <c r="U6" s="11" t="s">
        <v>35</v>
      </c>
      <c r="V6" s="13" t="s">
        <v>36</v>
      </c>
      <c r="W6" s="13" t="s">
        <v>37</v>
      </c>
      <c r="X6" s="11" t="s">
        <v>38</v>
      </c>
      <c r="Y6" s="11" t="s">
        <v>39</v>
      </c>
      <c r="Z6" s="11" t="s">
        <v>40</v>
      </c>
      <c r="AA6" s="11" t="s">
        <v>41</v>
      </c>
      <c r="AB6" s="11" t="s">
        <v>42</v>
      </c>
      <c r="AC6" s="11" t="s">
        <v>39</v>
      </c>
      <c r="AD6" s="11" t="s">
        <v>40</v>
      </c>
      <c r="AE6" s="11" t="s">
        <v>41</v>
      </c>
      <c r="AF6" s="11" t="s">
        <v>42</v>
      </c>
      <c r="AG6" s="12" t="s">
        <v>39</v>
      </c>
      <c r="AH6" s="12" t="s">
        <v>40</v>
      </c>
      <c r="AI6" s="12" t="s">
        <v>41</v>
      </c>
      <c r="AJ6" s="12" t="s">
        <v>42</v>
      </c>
      <c r="AK6" s="12" t="s">
        <v>39</v>
      </c>
      <c r="AL6" s="12" t="s">
        <v>40</v>
      </c>
      <c r="AM6" s="12" t="s">
        <v>41</v>
      </c>
      <c r="AN6" s="12" t="s">
        <v>42</v>
      </c>
      <c r="AO6" s="11" t="s">
        <v>39</v>
      </c>
      <c r="AP6" s="11" t="s">
        <v>40</v>
      </c>
      <c r="AQ6" s="11" t="s">
        <v>41</v>
      </c>
      <c r="AR6" s="11" t="s">
        <v>42</v>
      </c>
      <c r="AS6" s="11" t="s">
        <v>39</v>
      </c>
      <c r="AT6" s="11" t="s">
        <v>40</v>
      </c>
      <c r="AU6" s="11" t="s">
        <v>41</v>
      </c>
      <c r="AV6" s="11" t="s">
        <v>42</v>
      </c>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row>
    <row r="7" spans="1:708" s="22" customFormat="1" ht="55.5" customHeight="1" x14ac:dyDescent="0.25">
      <c r="A7" s="503" t="s">
        <v>43</v>
      </c>
      <c r="B7" s="505" t="s">
        <v>44</v>
      </c>
      <c r="C7" s="507" t="s">
        <v>45</v>
      </c>
      <c r="D7" s="509" t="s">
        <v>46</v>
      </c>
      <c r="E7" s="509" t="s">
        <v>47</v>
      </c>
      <c r="F7" s="509" t="s">
        <v>48</v>
      </c>
      <c r="G7" s="509" t="s">
        <v>49</v>
      </c>
      <c r="H7" s="509" t="s">
        <v>50</v>
      </c>
      <c r="I7" s="509" t="s">
        <v>51</v>
      </c>
      <c r="J7" s="509" t="s">
        <v>52</v>
      </c>
      <c r="K7" s="509" t="s">
        <v>53</v>
      </c>
      <c r="L7" s="509" t="s">
        <v>54</v>
      </c>
      <c r="M7" s="509" t="s">
        <v>55</v>
      </c>
      <c r="N7" s="509" t="s">
        <v>56</v>
      </c>
      <c r="O7" s="509"/>
      <c r="P7" s="509">
        <v>480</v>
      </c>
      <c r="Q7" s="14" t="s">
        <v>57</v>
      </c>
      <c r="R7" s="14" t="s">
        <v>58</v>
      </c>
      <c r="S7" s="15" t="s">
        <v>56</v>
      </c>
      <c r="T7" s="15"/>
      <c r="U7" s="15">
        <v>139</v>
      </c>
      <c r="V7" s="16">
        <v>779377189</v>
      </c>
      <c r="W7" s="511">
        <v>64326892613</v>
      </c>
      <c r="X7" s="17" t="s">
        <v>59</v>
      </c>
      <c r="Y7" s="512">
        <v>41</v>
      </c>
      <c r="Z7" s="512">
        <f>+P7</f>
        <v>480</v>
      </c>
      <c r="AA7" s="532">
        <f>+Y7/Z7</f>
        <v>8.5416666666666669E-2</v>
      </c>
      <c r="AB7" s="534" t="s">
        <v>60</v>
      </c>
      <c r="AC7" s="15">
        <v>6</v>
      </c>
      <c r="AD7" s="15">
        <f>+U7</f>
        <v>139</v>
      </c>
      <c r="AE7" s="18">
        <f>+AC7/AD7</f>
        <v>4.3165467625899283E-2</v>
      </c>
      <c r="AF7" s="15" t="s">
        <v>61</v>
      </c>
      <c r="AG7" s="522">
        <v>77</v>
      </c>
      <c r="AH7" s="522">
        <v>480</v>
      </c>
      <c r="AI7" s="524">
        <v>0.16041666666666668</v>
      </c>
      <c r="AJ7" s="520" t="s">
        <v>62</v>
      </c>
      <c r="AK7" s="19">
        <v>17</v>
      </c>
      <c r="AL7" s="19">
        <v>139</v>
      </c>
      <c r="AM7" s="20">
        <v>0.1223021582733813</v>
      </c>
      <c r="AN7" s="19" t="s">
        <v>63</v>
      </c>
      <c r="AO7" s="522">
        <v>108</v>
      </c>
      <c r="AP7" s="522">
        <f>+P7</f>
        <v>480</v>
      </c>
      <c r="AQ7" s="524">
        <f>+AO7/AP7</f>
        <v>0.22500000000000001</v>
      </c>
      <c r="AR7" s="520" t="s">
        <v>64</v>
      </c>
      <c r="AS7" s="19">
        <v>20</v>
      </c>
      <c r="AT7" s="19">
        <f>+U7</f>
        <v>139</v>
      </c>
      <c r="AU7" s="20">
        <f>+AS7/AT7</f>
        <v>0.14388489208633093</v>
      </c>
      <c r="AV7" s="19" t="s">
        <v>65</v>
      </c>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c r="II7" s="21"/>
      <c r="IJ7" s="21"/>
      <c r="IK7" s="21"/>
      <c r="IL7" s="21"/>
      <c r="IM7" s="21"/>
      <c r="IN7" s="21"/>
      <c r="IO7" s="21"/>
      <c r="IP7" s="21"/>
      <c r="IQ7" s="21"/>
      <c r="IR7" s="21"/>
      <c r="IS7" s="21"/>
      <c r="IT7" s="21"/>
      <c r="IU7" s="21"/>
      <c r="IV7" s="21"/>
      <c r="IW7" s="21"/>
      <c r="IX7" s="21"/>
      <c r="IY7" s="21"/>
      <c r="IZ7" s="21"/>
      <c r="JA7" s="21"/>
      <c r="JB7" s="21"/>
      <c r="JC7" s="21"/>
      <c r="JD7" s="21"/>
      <c r="JE7" s="21"/>
      <c r="JF7" s="21"/>
      <c r="JG7" s="21"/>
      <c r="JH7" s="21"/>
      <c r="JI7" s="21"/>
      <c r="JJ7" s="21"/>
      <c r="JK7" s="21"/>
      <c r="JL7" s="21"/>
      <c r="JM7" s="21"/>
      <c r="JN7" s="21"/>
      <c r="JO7" s="21"/>
      <c r="JP7" s="21"/>
      <c r="JQ7" s="21"/>
      <c r="JR7" s="21"/>
      <c r="JS7" s="21"/>
      <c r="JT7" s="21"/>
      <c r="JU7" s="21"/>
      <c r="JV7" s="21"/>
      <c r="JW7" s="21"/>
      <c r="JX7" s="21"/>
      <c r="JY7" s="21"/>
      <c r="JZ7" s="21"/>
      <c r="KA7" s="21"/>
      <c r="KB7" s="21"/>
      <c r="KC7" s="21"/>
      <c r="KD7" s="21"/>
      <c r="KE7" s="21"/>
      <c r="KF7" s="21"/>
      <c r="KG7" s="21"/>
      <c r="KH7" s="21"/>
      <c r="KI7" s="21"/>
      <c r="KJ7" s="21"/>
      <c r="KK7" s="21"/>
      <c r="KL7" s="21"/>
      <c r="KM7" s="21"/>
      <c r="KN7" s="21"/>
      <c r="KO7" s="21"/>
      <c r="KP7" s="21"/>
      <c r="KQ7" s="21"/>
      <c r="KR7" s="21"/>
      <c r="KS7" s="21"/>
      <c r="KT7" s="21"/>
      <c r="KU7" s="21"/>
      <c r="KV7" s="21"/>
      <c r="KW7" s="21"/>
      <c r="KX7" s="21"/>
      <c r="KY7" s="21"/>
      <c r="KZ7" s="21"/>
      <c r="LA7" s="21"/>
      <c r="LB7" s="21"/>
      <c r="LC7" s="21"/>
      <c r="LD7" s="21"/>
      <c r="LE7" s="21"/>
      <c r="LF7" s="21"/>
      <c r="LG7" s="21"/>
      <c r="LH7" s="21"/>
      <c r="LI7" s="21"/>
      <c r="LJ7" s="21"/>
      <c r="LK7" s="21"/>
      <c r="LL7" s="21"/>
      <c r="LM7" s="21"/>
      <c r="LN7" s="21"/>
      <c r="LO7" s="21"/>
      <c r="LP7" s="21"/>
      <c r="LQ7" s="21"/>
      <c r="LR7" s="21"/>
      <c r="LS7" s="21"/>
      <c r="LT7" s="21"/>
      <c r="LU7" s="21"/>
      <c r="LV7" s="21"/>
      <c r="LW7" s="21"/>
      <c r="LX7" s="21"/>
      <c r="LY7" s="21"/>
      <c r="LZ7" s="21"/>
      <c r="MA7" s="21"/>
      <c r="MB7" s="21"/>
      <c r="MC7" s="21"/>
      <c r="MD7" s="21"/>
      <c r="ME7" s="21"/>
      <c r="MF7" s="21"/>
      <c r="MG7" s="21"/>
      <c r="MH7" s="21"/>
      <c r="MI7" s="21"/>
      <c r="MJ7" s="21"/>
      <c r="MK7" s="21"/>
      <c r="ML7" s="21"/>
      <c r="MM7" s="21"/>
      <c r="MN7" s="21"/>
      <c r="MO7" s="21"/>
      <c r="MP7" s="21"/>
      <c r="MQ7" s="21"/>
      <c r="MR7" s="21"/>
      <c r="MS7" s="21"/>
      <c r="MT7" s="21"/>
      <c r="MU7" s="21"/>
      <c r="MV7" s="21"/>
      <c r="MW7" s="21"/>
      <c r="MX7" s="21"/>
      <c r="MY7" s="21"/>
      <c r="MZ7" s="21"/>
      <c r="NA7" s="21"/>
      <c r="NB7" s="21"/>
      <c r="NC7" s="21"/>
      <c r="ND7" s="21"/>
      <c r="NE7" s="21"/>
      <c r="NF7" s="21"/>
      <c r="NG7" s="21"/>
      <c r="NH7" s="21"/>
      <c r="NI7" s="21"/>
      <c r="NJ7" s="21"/>
      <c r="NK7" s="21"/>
      <c r="NL7" s="21"/>
      <c r="NM7" s="21"/>
      <c r="NN7" s="21"/>
      <c r="NO7" s="21"/>
      <c r="NP7" s="21"/>
      <c r="NQ7" s="21"/>
      <c r="NR7" s="21"/>
      <c r="NS7" s="21"/>
      <c r="NT7" s="21"/>
      <c r="NU7" s="21"/>
      <c r="NV7" s="21"/>
      <c r="NW7" s="21"/>
      <c r="NX7" s="21"/>
      <c r="NY7" s="21"/>
      <c r="NZ7" s="21"/>
      <c r="OA7" s="21"/>
      <c r="OB7" s="21"/>
      <c r="OC7" s="21"/>
      <c r="OD7" s="21"/>
      <c r="OE7" s="21"/>
      <c r="OF7" s="21"/>
      <c r="OG7" s="21"/>
      <c r="OH7" s="21"/>
      <c r="OI7" s="21"/>
      <c r="OJ7" s="21"/>
      <c r="OK7" s="21"/>
      <c r="OL7" s="21"/>
      <c r="OM7" s="21"/>
      <c r="ON7" s="21"/>
      <c r="OO7" s="21"/>
      <c r="OP7" s="21"/>
      <c r="OQ7" s="21"/>
      <c r="OR7" s="21"/>
      <c r="OS7" s="21"/>
      <c r="OT7" s="21"/>
      <c r="OU7" s="21"/>
      <c r="OV7" s="21"/>
      <c r="OW7" s="21"/>
      <c r="OX7" s="21"/>
      <c r="OY7" s="21"/>
      <c r="OZ7" s="21"/>
      <c r="PA7" s="21"/>
      <c r="PB7" s="21"/>
      <c r="PC7" s="21"/>
      <c r="PD7" s="21"/>
      <c r="PE7" s="21"/>
      <c r="PF7" s="21"/>
      <c r="PG7" s="21"/>
      <c r="PH7" s="21"/>
      <c r="PI7" s="21"/>
      <c r="PJ7" s="21"/>
      <c r="PK7" s="21"/>
      <c r="PL7" s="21"/>
      <c r="PM7" s="21"/>
      <c r="PN7" s="21"/>
      <c r="PO7" s="21"/>
      <c r="PP7" s="21"/>
      <c r="PQ7" s="21"/>
      <c r="PR7" s="21"/>
      <c r="PS7" s="21"/>
      <c r="PT7" s="21"/>
      <c r="PU7" s="21"/>
      <c r="PV7" s="21"/>
      <c r="PW7" s="21"/>
      <c r="PX7" s="21"/>
      <c r="PY7" s="21"/>
      <c r="PZ7" s="21"/>
      <c r="QA7" s="21"/>
      <c r="QB7" s="21"/>
      <c r="QC7" s="21"/>
      <c r="QD7" s="21"/>
      <c r="QE7" s="21"/>
      <c r="QF7" s="21"/>
      <c r="QG7" s="21"/>
      <c r="QH7" s="21"/>
      <c r="QI7" s="21"/>
      <c r="QJ7" s="21"/>
      <c r="QK7" s="21"/>
      <c r="QL7" s="21"/>
      <c r="QM7" s="21"/>
      <c r="QN7" s="21"/>
      <c r="QO7" s="21"/>
      <c r="QP7" s="21"/>
      <c r="QQ7" s="21"/>
      <c r="QR7" s="21"/>
      <c r="QS7" s="21"/>
      <c r="QT7" s="21"/>
      <c r="QU7" s="21"/>
      <c r="QV7" s="21"/>
      <c r="QW7" s="21"/>
      <c r="QX7" s="21"/>
      <c r="QY7" s="21"/>
      <c r="QZ7" s="21"/>
      <c r="RA7" s="21"/>
      <c r="RB7" s="21"/>
      <c r="RC7" s="21"/>
      <c r="RD7" s="21"/>
      <c r="RE7" s="21"/>
      <c r="RF7" s="21"/>
      <c r="RG7" s="21"/>
      <c r="RH7" s="21"/>
      <c r="RI7" s="21"/>
      <c r="RJ7" s="21"/>
      <c r="RK7" s="21"/>
      <c r="RL7" s="21"/>
      <c r="RM7" s="21"/>
      <c r="RN7" s="21"/>
      <c r="RO7" s="21"/>
      <c r="RP7" s="21"/>
      <c r="RQ7" s="21"/>
      <c r="RR7" s="21"/>
      <c r="RS7" s="21"/>
      <c r="RT7" s="21"/>
      <c r="RU7" s="21"/>
      <c r="RV7" s="21"/>
      <c r="RW7" s="21"/>
      <c r="RX7" s="21"/>
      <c r="RY7" s="21"/>
      <c r="RZ7" s="21"/>
      <c r="SA7" s="21"/>
      <c r="SB7" s="21"/>
      <c r="SC7" s="21"/>
      <c r="SD7" s="21"/>
      <c r="SE7" s="21"/>
      <c r="SF7" s="21"/>
      <c r="SG7" s="21"/>
      <c r="SH7" s="21"/>
      <c r="SI7" s="21"/>
      <c r="SJ7" s="21"/>
      <c r="SK7" s="21"/>
      <c r="SL7" s="21"/>
      <c r="SM7" s="21"/>
      <c r="SN7" s="21"/>
      <c r="SO7" s="21"/>
      <c r="SP7" s="21"/>
      <c r="SQ7" s="21"/>
      <c r="SR7" s="21"/>
      <c r="SS7" s="21"/>
      <c r="ST7" s="21"/>
      <c r="SU7" s="21"/>
      <c r="SV7" s="21"/>
      <c r="SW7" s="21"/>
      <c r="SX7" s="21"/>
      <c r="SY7" s="21"/>
      <c r="SZ7" s="21"/>
      <c r="TA7" s="21"/>
      <c r="TB7" s="21"/>
      <c r="TC7" s="21"/>
      <c r="TD7" s="21"/>
      <c r="TE7" s="21"/>
      <c r="TF7" s="21"/>
      <c r="TG7" s="21"/>
      <c r="TH7" s="21"/>
      <c r="TI7" s="21"/>
      <c r="TJ7" s="21"/>
      <c r="TK7" s="21"/>
      <c r="TL7" s="21"/>
      <c r="TM7" s="21"/>
      <c r="TN7" s="21"/>
      <c r="TO7" s="21"/>
      <c r="TP7" s="21"/>
      <c r="TQ7" s="21"/>
      <c r="TR7" s="21"/>
      <c r="TS7" s="21"/>
      <c r="TT7" s="21"/>
      <c r="TU7" s="21"/>
      <c r="TV7" s="21"/>
      <c r="TW7" s="21"/>
      <c r="TX7" s="21"/>
      <c r="TY7" s="21"/>
      <c r="TZ7" s="21"/>
      <c r="UA7" s="21"/>
      <c r="UB7" s="21"/>
      <c r="UC7" s="21"/>
      <c r="UD7" s="21"/>
      <c r="UE7" s="21"/>
      <c r="UF7" s="21"/>
      <c r="UG7" s="21"/>
      <c r="UH7" s="21"/>
      <c r="UI7" s="21"/>
      <c r="UJ7" s="21"/>
      <c r="UK7" s="21"/>
      <c r="UL7" s="21"/>
      <c r="UM7" s="21"/>
      <c r="UN7" s="21"/>
      <c r="UO7" s="21"/>
      <c r="UP7" s="21"/>
      <c r="UQ7" s="21"/>
      <c r="UR7" s="21"/>
      <c r="US7" s="21"/>
      <c r="UT7" s="21"/>
      <c r="UU7" s="21"/>
      <c r="UV7" s="21"/>
      <c r="UW7" s="21"/>
      <c r="UX7" s="21"/>
      <c r="UY7" s="21"/>
      <c r="UZ7" s="21"/>
      <c r="VA7" s="21"/>
      <c r="VB7" s="21"/>
      <c r="VC7" s="21"/>
      <c r="VD7" s="21"/>
      <c r="VE7" s="21"/>
      <c r="VF7" s="21"/>
      <c r="VG7" s="21"/>
      <c r="VH7" s="21"/>
      <c r="VI7" s="21"/>
      <c r="VJ7" s="21"/>
      <c r="VK7" s="21"/>
      <c r="VL7" s="21"/>
      <c r="VM7" s="21"/>
      <c r="VN7" s="21"/>
      <c r="VO7" s="21"/>
      <c r="VP7" s="21"/>
      <c r="VQ7" s="21"/>
      <c r="VR7" s="21"/>
      <c r="VS7" s="21"/>
      <c r="VT7" s="21"/>
      <c r="VU7" s="21"/>
      <c r="VV7" s="21"/>
      <c r="VW7" s="21"/>
      <c r="VX7" s="21"/>
      <c r="VY7" s="21"/>
      <c r="VZ7" s="21"/>
      <c r="WA7" s="21"/>
      <c r="WB7" s="21"/>
      <c r="WC7" s="21"/>
      <c r="WD7" s="21"/>
      <c r="WE7" s="21"/>
      <c r="WF7" s="21"/>
      <c r="WG7" s="21"/>
      <c r="WH7" s="21"/>
      <c r="WI7" s="21"/>
      <c r="WJ7" s="21"/>
      <c r="WK7" s="21"/>
      <c r="WL7" s="21"/>
      <c r="WM7" s="21"/>
      <c r="WN7" s="21"/>
      <c r="WO7" s="21"/>
      <c r="WP7" s="21"/>
      <c r="WQ7" s="21"/>
      <c r="WR7" s="21"/>
      <c r="WS7" s="21"/>
      <c r="WT7" s="21"/>
      <c r="WU7" s="21"/>
      <c r="WV7" s="21"/>
      <c r="WW7" s="21"/>
      <c r="WX7" s="21"/>
      <c r="WY7" s="21"/>
      <c r="WZ7" s="21"/>
      <c r="XA7" s="21"/>
      <c r="XB7" s="21"/>
      <c r="XC7" s="21"/>
      <c r="XD7" s="21"/>
      <c r="XE7" s="21"/>
      <c r="XF7" s="21"/>
      <c r="XG7" s="21"/>
      <c r="XH7" s="21"/>
      <c r="XI7" s="21"/>
      <c r="XJ7" s="21"/>
      <c r="XK7" s="21"/>
      <c r="XL7" s="21"/>
      <c r="XM7" s="21"/>
      <c r="XN7" s="21"/>
      <c r="XO7" s="21"/>
      <c r="XP7" s="21"/>
      <c r="XQ7" s="21"/>
      <c r="XR7" s="21"/>
      <c r="XS7" s="21"/>
      <c r="XT7" s="21"/>
      <c r="XU7" s="21"/>
      <c r="XV7" s="21"/>
      <c r="XW7" s="21"/>
      <c r="XX7" s="21"/>
      <c r="XY7" s="21"/>
      <c r="XZ7" s="21"/>
      <c r="YA7" s="21"/>
      <c r="YB7" s="21"/>
      <c r="YC7" s="21"/>
      <c r="YD7" s="21"/>
      <c r="YE7" s="21"/>
      <c r="YF7" s="21"/>
      <c r="YG7" s="21"/>
      <c r="YH7" s="21"/>
      <c r="YI7" s="21"/>
      <c r="YJ7" s="21"/>
      <c r="YK7" s="21"/>
      <c r="YL7" s="21"/>
      <c r="YM7" s="21"/>
      <c r="YN7" s="21"/>
      <c r="YO7" s="21"/>
      <c r="YP7" s="21"/>
      <c r="YQ7" s="21"/>
      <c r="YR7" s="21"/>
      <c r="YS7" s="21"/>
      <c r="YT7" s="21"/>
      <c r="YU7" s="21"/>
      <c r="YV7" s="21"/>
      <c r="YW7" s="21"/>
      <c r="YX7" s="21"/>
      <c r="YY7" s="21"/>
      <c r="YZ7" s="21"/>
      <c r="ZA7" s="21"/>
      <c r="ZB7" s="21"/>
      <c r="ZC7" s="21"/>
      <c r="ZD7" s="21"/>
      <c r="ZE7" s="21"/>
      <c r="ZF7" s="21"/>
      <c r="ZG7" s="21"/>
      <c r="ZH7" s="21"/>
      <c r="ZI7" s="21"/>
      <c r="ZJ7" s="21"/>
      <c r="ZK7" s="21"/>
      <c r="ZL7" s="21"/>
      <c r="ZM7" s="21"/>
      <c r="ZN7" s="21"/>
      <c r="ZO7" s="21"/>
      <c r="ZP7" s="21"/>
      <c r="ZQ7" s="21"/>
      <c r="ZR7" s="21"/>
      <c r="ZS7" s="21"/>
      <c r="ZT7" s="21"/>
      <c r="ZU7" s="21"/>
      <c r="ZV7" s="21"/>
      <c r="ZW7" s="21"/>
      <c r="ZX7" s="21"/>
      <c r="ZY7" s="21"/>
      <c r="ZZ7" s="21"/>
      <c r="AAA7" s="21"/>
      <c r="AAB7" s="21"/>
      <c r="AAC7" s="21"/>
      <c r="AAD7" s="21"/>
      <c r="AAE7" s="21"/>
      <c r="AAF7" s="21"/>
    </row>
    <row r="8" spans="1:708" s="33" customFormat="1" ht="55.5" customHeight="1" x14ac:dyDescent="0.25">
      <c r="A8" s="504"/>
      <c r="B8" s="506"/>
      <c r="C8" s="508"/>
      <c r="D8" s="510"/>
      <c r="E8" s="510"/>
      <c r="F8" s="510"/>
      <c r="G8" s="510"/>
      <c r="H8" s="510"/>
      <c r="I8" s="510"/>
      <c r="J8" s="510"/>
      <c r="K8" s="510"/>
      <c r="L8" s="510"/>
      <c r="M8" s="510"/>
      <c r="N8" s="510"/>
      <c r="O8" s="510"/>
      <c r="P8" s="510"/>
      <c r="Q8" s="23" t="s">
        <v>66</v>
      </c>
      <c r="R8" s="23" t="s">
        <v>67</v>
      </c>
      <c r="S8" s="24" t="s">
        <v>56</v>
      </c>
      <c r="T8" s="24"/>
      <c r="U8" s="24">
        <v>436</v>
      </c>
      <c r="V8" s="25">
        <v>779377189</v>
      </c>
      <c r="W8" s="511"/>
      <c r="X8" s="26" t="s">
        <v>59</v>
      </c>
      <c r="Y8" s="513"/>
      <c r="Z8" s="513"/>
      <c r="AA8" s="533"/>
      <c r="AB8" s="535"/>
      <c r="AC8" s="27">
        <v>24</v>
      </c>
      <c r="AD8" s="27">
        <f>+U8</f>
        <v>436</v>
      </c>
      <c r="AE8" s="28">
        <f>+AC8/AD8</f>
        <v>5.5045871559633031E-2</v>
      </c>
      <c r="AF8" s="29" t="s">
        <v>68</v>
      </c>
      <c r="AG8" s="523"/>
      <c r="AH8" s="523"/>
      <c r="AI8" s="525"/>
      <c r="AJ8" s="521"/>
      <c r="AK8" s="30">
        <v>52</v>
      </c>
      <c r="AL8" s="30">
        <v>436</v>
      </c>
      <c r="AM8" s="31">
        <v>0.11926605504587157</v>
      </c>
      <c r="AN8" s="32" t="s">
        <v>69</v>
      </c>
      <c r="AO8" s="523"/>
      <c r="AP8" s="523"/>
      <c r="AQ8" s="525"/>
      <c r="AR8" s="521"/>
      <c r="AS8" s="30">
        <v>77</v>
      </c>
      <c r="AT8" s="30">
        <f>+U8</f>
        <v>436</v>
      </c>
      <c r="AU8" s="31">
        <f>+AS8/AT8</f>
        <v>0.17660550458715596</v>
      </c>
      <c r="AV8" s="32" t="s">
        <v>70</v>
      </c>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c r="IL8" s="21"/>
      <c r="IM8" s="21"/>
      <c r="IN8" s="21"/>
      <c r="IO8" s="21"/>
      <c r="IP8" s="21"/>
      <c r="IQ8" s="21"/>
      <c r="IR8" s="21"/>
      <c r="IS8" s="21"/>
      <c r="IT8" s="21"/>
      <c r="IU8" s="21"/>
      <c r="IV8" s="21"/>
      <c r="IW8" s="21"/>
      <c r="IX8" s="21"/>
      <c r="IY8" s="21"/>
      <c r="IZ8" s="21"/>
      <c r="JA8" s="21"/>
      <c r="JB8" s="21"/>
      <c r="JC8" s="21"/>
      <c r="JD8" s="21"/>
      <c r="JE8" s="21"/>
      <c r="JF8" s="21"/>
      <c r="JG8" s="21"/>
      <c r="JH8" s="21"/>
      <c r="JI8" s="21"/>
      <c r="JJ8" s="21"/>
      <c r="JK8" s="21"/>
      <c r="JL8" s="21"/>
      <c r="JM8" s="21"/>
      <c r="JN8" s="21"/>
      <c r="JO8" s="21"/>
      <c r="JP8" s="21"/>
      <c r="JQ8" s="21"/>
      <c r="JR8" s="21"/>
      <c r="JS8" s="21"/>
      <c r="JT8" s="21"/>
      <c r="JU8" s="21"/>
      <c r="JV8" s="21"/>
      <c r="JW8" s="21"/>
      <c r="JX8" s="21"/>
      <c r="JY8" s="21"/>
      <c r="JZ8" s="21"/>
      <c r="KA8" s="21"/>
      <c r="KB8" s="21"/>
      <c r="KC8" s="21"/>
      <c r="KD8" s="21"/>
      <c r="KE8" s="21"/>
      <c r="KF8" s="21"/>
      <c r="KG8" s="21"/>
      <c r="KH8" s="21"/>
      <c r="KI8" s="21"/>
      <c r="KJ8" s="21"/>
      <c r="KK8" s="21"/>
      <c r="KL8" s="21"/>
      <c r="KM8" s="21"/>
      <c r="KN8" s="21"/>
      <c r="KO8" s="21"/>
      <c r="KP8" s="21"/>
      <c r="KQ8" s="21"/>
      <c r="KR8" s="21"/>
      <c r="KS8" s="21"/>
      <c r="KT8" s="21"/>
      <c r="KU8" s="21"/>
      <c r="KV8" s="21"/>
      <c r="KW8" s="21"/>
      <c r="KX8" s="21"/>
      <c r="KY8" s="21"/>
      <c r="KZ8" s="21"/>
      <c r="LA8" s="21"/>
      <c r="LB8" s="21"/>
      <c r="LC8" s="21"/>
      <c r="LD8" s="21"/>
      <c r="LE8" s="21"/>
      <c r="LF8" s="21"/>
      <c r="LG8" s="21"/>
      <c r="LH8" s="21"/>
      <c r="LI8" s="21"/>
      <c r="LJ8" s="21"/>
      <c r="LK8" s="21"/>
      <c r="LL8" s="21"/>
      <c r="LM8" s="21"/>
      <c r="LN8" s="21"/>
      <c r="LO8" s="21"/>
      <c r="LP8" s="21"/>
      <c r="LQ8" s="21"/>
      <c r="LR8" s="21"/>
      <c r="LS8" s="21"/>
      <c r="LT8" s="21"/>
      <c r="LU8" s="21"/>
      <c r="LV8" s="21"/>
      <c r="LW8" s="21"/>
      <c r="LX8" s="21"/>
      <c r="LY8" s="21"/>
      <c r="LZ8" s="21"/>
      <c r="MA8" s="21"/>
      <c r="MB8" s="21"/>
      <c r="MC8" s="21"/>
      <c r="MD8" s="21"/>
      <c r="ME8" s="21"/>
      <c r="MF8" s="21"/>
      <c r="MG8" s="21"/>
      <c r="MH8" s="21"/>
      <c r="MI8" s="21"/>
      <c r="MJ8" s="21"/>
      <c r="MK8" s="21"/>
      <c r="ML8" s="21"/>
      <c r="MM8" s="21"/>
      <c r="MN8" s="21"/>
      <c r="MO8" s="21"/>
      <c r="MP8" s="21"/>
      <c r="MQ8" s="21"/>
      <c r="MR8" s="21"/>
      <c r="MS8" s="21"/>
      <c r="MT8" s="21"/>
      <c r="MU8" s="21"/>
      <c r="MV8" s="21"/>
      <c r="MW8" s="21"/>
      <c r="MX8" s="21"/>
      <c r="MY8" s="21"/>
      <c r="MZ8" s="21"/>
      <c r="NA8" s="21"/>
      <c r="NB8" s="21"/>
      <c r="NC8" s="21"/>
      <c r="ND8" s="21"/>
      <c r="NE8" s="21"/>
      <c r="NF8" s="21"/>
      <c r="NG8" s="21"/>
      <c r="NH8" s="21"/>
      <c r="NI8" s="21"/>
      <c r="NJ8" s="21"/>
      <c r="NK8" s="21"/>
      <c r="NL8" s="21"/>
      <c r="NM8" s="21"/>
      <c r="NN8" s="21"/>
      <c r="NO8" s="21"/>
      <c r="NP8" s="21"/>
      <c r="NQ8" s="21"/>
      <c r="NR8" s="21"/>
      <c r="NS8" s="21"/>
      <c r="NT8" s="21"/>
      <c r="NU8" s="21"/>
      <c r="NV8" s="21"/>
      <c r="NW8" s="21"/>
      <c r="NX8" s="21"/>
      <c r="NY8" s="21"/>
      <c r="NZ8" s="21"/>
      <c r="OA8" s="21"/>
      <c r="OB8" s="21"/>
      <c r="OC8" s="21"/>
      <c r="OD8" s="21"/>
      <c r="OE8" s="21"/>
      <c r="OF8" s="21"/>
      <c r="OG8" s="21"/>
      <c r="OH8" s="21"/>
      <c r="OI8" s="21"/>
      <c r="OJ8" s="21"/>
      <c r="OK8" s="21"/>
      <c r="OL8" s="21"/>
      <c r="OM8" s="21"/>
      <c r="ON8" s="21"/>
      <c r="OO8" s="21"/>
      <c r="OP8" s="21"/>
      <c r="OQ8" s="21"/>
      <c r="OR8" s="21"/>
      <c r="OS8" s="21"/>
      <c r="OT8" s="21"/>
      <c r="OU8" s="21"/>
      <c r="OV8" s="21"/>
      <c r="OW8" s="21"/>
      <c r="OX8" s="21"/>
      <c r="OY8" s="21"/>
      <c r="OZ8" s="21"/>
      <c r="PA8" s="21"/>
      <c r="PB8" s="21"/>
      <c r="PC8" s="21"/>
      <c r="PD8" s="21"/>
      <c r="PE8" s="21"/>
      <c r="PF8" s="21"/>
      <c r="PG8" s="21"/>
      <c r="PH8" s="21"/>
      <c r="PI8" s="21"/>
      <c r="PJ8" s="21"/>
      <c r="PK8" s="21"/>
      <c r="PL8" s="21"/>
      <c r="PM8" s="21"/>
      <c r="PN8" s="21"/>
      <c r="PO8" s="21"/>
      <c r="PP8" s="21"/>
      <c r="PQ8" s="21"/>
      <c r="PR8" s="21"/>
      <c r="PS8" s="21"/>
      <c r="PT8" s="21"/>
      <c r="PU8" s="21"/>
      <c r="PV8" s="21"/>
      <c r="PW8" s="21"/>
      <c r="PX8" s="21"/>
      <c r="PY8" s="21"/>
      <c r="PZ8" s="21"/>
      <c r="QA8" s="21"/>
      <c r="QB8" s="21"/>
      <c r="QC8" s="21"/>
      <c r="QD8" s="21"/>
      <c r="QE8" s="21"/>
      <c r="QF8" s="21"/>
      <c r="QG8" s="21"/>
      <c r="QH8" s="21"/>
      <c r="QI8" s="21"/>
      <c r="QJ8" s="21"/>
      <c r="QK8" s="21"/>
      <c r="QL8" s="21"/>
      <c r="QM8" s="21"/>
      <c r="QN8" s="21"/>
      <c r="QO8" s="21"/>
      <c r="QP8" s="21"/>
      <c r="QQ8" s="21"/>
      <c r="QR8" s="21"/>
      <c r="QS8" s="21"/>
      <c r="QT8" s="21"/>
      <c r="QU8" s="21"/>
      <c r="QV8" s="21"/>
      <c r="QW8" s="21"/>
      <c r="QX8" s="21"/>
      <c r="QY8" s="21"/>
      <c r="QZ8" s="21"/>
      <c r="RA8" s="21"/>
      <c r="RB8" s="21"/>
      <c r="RC8" s="21"/>
      <c r="RD8" s="21"/>
      <c r="RE8" s="21"/>
      <c r="RF8" s="21"/>
      <c r="RG8" s="21"/>
      <c r="RH8" s="21"/>
      <c r="RI8" s="21"/>
      <c r="RJ8" s="21"/>
      <c r="RK8" s="21"/>
      <c r="RL8" s="21"/>
      <c r="RM8" s="21"/>
      <c r="RN8" s="21"/>
      <c r="RO8" s="21"/>
      <c r="RP8" s="21"/>
      <c r="RQ8" s="21"/>
      <c r="RR8" s="21"/>
      <c r="RS8" s="21"/>
      <c r="RT8" s="21"/>
      <c r="RU8" s="21"/>
      <c r="RV8" s="21"/>
      <c r="RW8" s="21"/>
      <c r="RX8" s="21"/>
      <c r="RY8" s="21"/>
      <c r="RZ8" s="21"/>
      <c r="SA8" s="21"/>
      <c r="SB8" s="21"/>
      <c r="SC8" s="21"/>
      <c r="SD8" s="21"/>
      <c r="SE8" s="21"/>
      <c r="SF8" s="21"/>
      <c r="SG8" s="21"/>
      <c r="SH8" s="21"/>
      <c r="SI8" s="21"/>
      <c r="SJ8" s="21"/>
      <c r="SK8" s="21"/>
      <c r="SL8" s="21"/>
      <c r="SM8" s="21"/>
      <c r="SN8" s="21"/>
      <c r="SO8" s="21"/>
      <c r="SP8" s="21"/>
      <c r="SQ8" s="21"/>
      <c r="SR8" s="21"/>
      <c r="SS8" s="21"/>
      <c r="ST8" s="21"/>
      <c r="SU8" s="21"/>
      <c r="SV8" s="21"/>
      <c r="SW8" s="21"/>
      <c r="SX8" s="21"/>
      <c r="SY8" s="21"/>
      <c r="SZ8" s="21"/>
      <c r="TA8" s="21"/>
      <c r="TB8" s="21"/>
      <c r="TC8" s="21"/>
      <c r="TD8" s="21"/>
      <c r="TE8" s="21"/>
      <c r="TF8" s="21"/>
      <c r="TG8" s="21"/>
      <c r="TH8" s="21"/>
      <c r="TI8" s="21"/>
      <c r="TJ8" s="21"/>
      <c r="TK8" s="21"/>
      <c r="TL8" s="21"/>
      <c r="TM8" s="21"/>
      <c r="TN8" s="21"/>
      <c r="TO8" s="21"/>
      <c r="TP8" s="21"/>
      <c r="TQ8" s="21"/>
      <c r="TR8" s="21"/>
      <c r="TS8" s="21"/>
      <c r="TT8" s="21"/>
      <c r="TU8" s="21"/>
      <c r="TV8" s="21"/>
      <c r="TW8" s="21"/>
      <c r="TX8" s="21"/>
      <c r="TY8" s="21"/>
      <c r="TZ8" s="21"/>
      <c r="UA8" s="21"/>
      <c r="UB8" s="21"/>
      <c r="UC8" s="21"/>
      <c r="UD8" s="21"/>
      <c r="UE8" s="21"/>
      <c r="UF8" s="21"/>
      <c r="UG8" s="21"/>
      <c r="UH8" s="21"/>
      <c r="UI8" s="21"/>
      <c r="UJ8" s="21"/>
      <c r="UK8" s="21"/>
      <c r="UL8" s="21"/>
      <c r="UM8" s="21"/>
      <c r="UN8" s="21"/>
      <c r="UO8" s="21"/>
      <c r="UP8" s="21"/>
      <c r="UQ8" s="21"/>
      <c r="UR8" s="21"/>
      <c r="US8" s="21"/>
      <c r="UT8" s="21"/>
      <c r="UU8" s="21"/>
      <c r="UV8" s="21"/>
      <c r="UW8" s="21"/>
      <c r="UX8" s="21"/>
      <c r="UY8" s="21"/>
      <c r="UZ8" s="21"/>
      <c r="VA8" s="21"/>
      <c r="VB8" s="21"/>
      <c r="VC8" s="21"/>
      <c r="VD8" s="21"/>
      <c r="VE8" s="21"/>
      <c r="VF8" s="21"/>
      <c r="VG8" s="21"/>
      <c r="VH8" s="21"/>
      <c r="VI8" s="21"/>
      <c r="VJ8" s="21"/>
      <c r="VK8" s="21"/>
      <c r="VL8" s="21"/>
      <c r="VM8" s="21"/>
      <c r="VN8" s="21"/>
      <c r="VO8" s="21"/>
      <c r="VP8" s="21"/>
      <c r="VQ8" s="21"/>
      <c r="VR8" s="21"/>
      <c r="VS8" s="21"/>
      <c r="VT8" s="21"/>
      <c r="VU8" s="21"/>
      <c r="VV8" s="21"/>
      <c r="VW8" s="21"/>
      <c r="VX8" s="21"/>
      <c r="VY8" s="21"/>
      <c r="VZ8" s="21"/>
      <c r="WA8" s="21"/>
      <c r="WB8" s="21"/>
      <c r="WC8" s="21"/>
      <c r="WD8" s="21"/>
      <c r="WE8" s="21"/>
      <c r="WF8" s="21"/>
      <c r="WG8" s="21"/>
      <c r="WH8" s="21"/>
      <c r="WI8" s="21"/>
      <c r="WJ8" s="21"/>
      <c r="WK8" s="21"/>
      <c r="WL8" s="21"/>
      <c r="WM8" s="21"/>
      <c r="WN8" s="21"/>
      <c r="WO8" s="21"/>
      <c r="WP8" s="21"/>
      <c r="WQ8" s="21"/>
      <c r="WR8" s="21"/>
      <c r="WS8" s="21"/>
      <c r="WT8" s="21"/>
      <c r="WU8" s="21"/>
      <c r="WV8" s="21"/>
      <c r="WW8" s="21"/>
      <c r="WX8" s="21"/>
      <c r="WY8" s="21"/>
      <c r="WZ8" s="21"/>
      <c r="XA8" s="21"/>
      <c r="XB8" s="21"/>
      <c r="XC8" s="21"/>
      <c r="XD8" s="21"/>
      <c r="XE8" s="21"/>
      <c r="XF8" s="21"/>
      <c r="XG8" s="21"/>
      <c r="XH8" s="21"/>
      <c r="XI8" s="21"/>
      <c r="XJ8" s="21"/>
      <c r="XK8" s="21"/>
      <c r="XL8" s="21"/>
      <c r="XM8" s="21"/>
      <c r="XN8" s="21"/>
      <c r="XO8" s="21"/>
      <c r="XP8" s="21"/>
      <c r="XQ8" s="21"/>
      <c r="XR8" s="21"/>
      <c r="XS8" s="21"/>
      <c r="XT8" s="21"/>
      <c r="XU8" s="21"/>
      <c r="XV8" s="21"/>
      <c r="XW8" s="21"/>
      <c r="XX8" s="21"/>
      <c r="XY8" s="21"/>
      <c r="XZ8" s="21"/>
      <c r="YA8" s="21"/>
      <c r="YB8" s="21"/>
      <c r="YC8" s="21"/>
      <c r="YD8" s="21"/>
      <c r="YE8" s="21"/>
      <c r="YF8" s="21"/>
      <c r="YG8" s="21"/>
      <c r="YH8" s="21"/>
      <c r="YI8" s="21"/>
      <c r="YJ8" s="21"/>
      <c r="YK8" s="21"/>
      <c r="YL8" s="21"/>
      <c r="YM8" s="21"/>
      <c r="YN8" s="21"/>
      <c r="YO8" s="21"/>
      <c r="YP8" s="21"/>
      <c r="YQ8" s="21"/>
      <c r="YR8" s="21"/>
      <c r="YS8" s="21"/>
      <c r="YT8" s="21"/>
      <c r="YU8" s="21"/>
      <c r="YV8" s="21"/>
      <c r="YW8" s="21"/>
      <c r="YX8" s="21"/>
      <c r="YY8" s="21"/>
      <c r="YZ8" s="21"/>
      <c r="ZA8" s="21"/>
      <c r="ZB8" s="21"/>
      <c r="ZC8" s="21"/>
      <c r="ZD8" s="21"/>
      <c r="ZE8" s="21"/>
      <c r="ZF8" s="21"/>
      <c r="ZG8" s="21"/>
      <c r="ZH8" s="21"/>
      <c r="ZI8" s="21"/>
      <c r="ZJ8" s="21"/>
      <c r="ZK8" s="21"/>
      <c r="ZL8" s="21"/>
      <c r="ZM8" s="21"/>
      <c r="ZN8" s="21"/>
      <c r="ZO8" s="21"/>
      <c r="ZP8" s="21"/>
      <c r="ZQ8" s="21"/>
      <c r="ZR8" s="21"/>
      <c r="ZS8" s="21"/>
      <c r="ZT8" s="21"/>
      <c r="ZU8" s="21"/>
      <c r="ZV8" s="21"/>
      <c r="ZW8" s="21"/>
      <c r="ZX8" s="21"/>
      <c r="ZY8" s="21"/>
      <c r="ZZ8" s="21"/>
      <c r="AAA8" s="21"/>
      <c r="AAB8" s="21"/>
      <c r="AAC8" s="21"/>
      <c r="AAD8" s="21"/>
      <c r="AAE8" s="21"/>
      <c r="AAF8" s="21"/>
    </row>
    <row r="9" spans="1:708" s="22" customFormat="1" ht="70.5" customHeight="1" x14ac:dyDescent="0.25">
      <c r="A9" s="504"/>
      <c r="B9" s="506"/>
      <c r="C9" s="14" t="s">
        <v>45</v>
      </c>
      <c r="D9" s="14" t="s">
        <v>46</v>
      </c>
      <c r="E9" s="15" t="s">
        <v>71</v>
      </c>
      <c r="F9" s="15" t="s">
        <v>48</v>
      </c>
      <c r="G9" s="15" t="s">
        <v>49</v>
      </c>
      <c r="H9" s="14" t="s">
        <v>50</v>
      </c>
      <c r="I9" s="15" t="s">
        <v>51</v>
      </c>
      <c r="J9" s="15" t="s">
        <v>52</v>
      </c>
      <c r="K9" s="14" t="s">
        <v>53</v>
      </c>
      <c r="L9" s="14" t="s">
        <v>72</v>
      </c>
      <c r="M9" s="14" t="s">
        <v>73</v>
      </c>
      <c r="N9" s="15" t="s">
        <v>74</v>
      </c>
      <c r="O9" s="15"/>
      <c r="P9" s="34">
        <v>0.89</v>
      </c>
      <c r="Q9" s="35"/>
      <c r="R9" s="36"/>
      <c r="S9" s="37"/>
      <c r="T9" s="36"/>
      <c r="U9" s="38"/>
      <c r="V9" s="16">
        <v>866003712</v>
      </c>
      <c r="W9" s="511"/>
      <c r="X9" s="39" t="s">
        <v>59</v>
      </c>
      <c r="Y9" s="40">
        <f>16/16</f>
        <v>1</v>
      </c>
      <c r="Z9" s="40">
        <f>+P9</f>
        <v>0.89</v>
      </c>
      <c r="AA9" s="40">
        <f>+Y9/Z9</f>
        <v>1.1235955056179776</v>
      </c>
      <c r="AB9" s="41" t="s">
        <v>75</v>
      </c>
      <c r="AC9" s="526"/>
      <c r="AD9" s="527"/>
      <c r="AE9" s="527"/>
      <c r="AF9" s="528"/>
      <c r="AG9" s="42">
        <v>1</v>
      </c>
      <c r="AH9" s="42">
        <v>0.89</v>
      </c>
      <c r="AI9" s="42">
        <v>1.1235955056179776</v>
      </c>
      <c r="AJ9" s="43" t="s">
        <v>76</v>
      </c>
      <c r="AK9" s="529"/>
      <c r="AL9" s="530"/>
      <c r="AM9" s="530"/>
      <c r="AN9" s="531"/>
      <c r="AO9" s="42">
        <f>39/39</f>
        <v>1</v>
      </c>
      <c r="AP9" s="42">
        <f>+P9</f>
        <v>0.89</v>
      </c>
      <c r="AQ9" s="42">
        <f>+AO9/AP9</f>
        <v>1.1235955056179776</v>
      </c>
      <c r="AR9" s="43" t="s">
        <v>77</v>
      </c>
      <c r="AS9" s="529"/>
      <c r="AT9" s="530"/>
      <c r="AU9" s="530"/>
      <c r="AV9" s="53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c r="GU9" s="21"/>
      <c r="GV9" s="21"/>
      <c r="GW9" s="21"/>
      <c r="GX9" s="21"/>
      <c r="GY9" s="21"/>
      <c r="GZ9" s="21"/>
      <c r="HA9" s="21"/>
      <c r="HB9" s="21"/>
      <c r="HC9" s="21"/>
      <c r="HD9" s="21"/>
      <c r="HE9" s="21"/>
      <c r="HF9" s="21"/>
      <c r="HG9" s="21"/>
      <c r="HH9" s="21"/>
      <c r="HI9" s="21"/>
      <c r="HJ9" s="21"/>
      <c r="HK9" s="21"/>
      <c r="HL9" s="21"/>
      <c r="HM9" s="21"/>
      <c r="HN9" s="21"/>
      <c r="HO9" s="21"/>
      <c r="HP9" s="21"/>
      <c r="HQ9" s="21"/>
      <c r="HR9" s="21"/>
      <c r="HS9" s="21"/>
      <c r="HT9" s="21"/>
      <c r="HU9" s="21"/>
      <c r="HV9" s="21"/>
      <c r="HW9" s="21"/>
      <c r="HX9" s="21"/>
      <c r="HY9" s="21"/>
      <c r="HZ9" s="21"/>
      <c r="IA9" s="21"/>
      <c r="IB9" s="21"/>
      <c r="IC9" s="21"/>
      <c r="ID9" s="21"/>
      <c r="IE9" s="21"/>
      <c r="IF9" s="21"/>
      <c r="IG9" s="21"/>
      <c r="IH9" s="21"/>
      <c r="II9" s="21"/>
      <c r="IJ9" s="21"/>
      <c r="IK9" s="21"/>
      <c r="IL9" s="21"/>
      <c r="IM9" s="21"/>
      <c r="IN9" s="21"/>
      <c r="IO9" s="21"/>
      <c r="IP9" s="21"/>
      <c r="IQ9" s="21"/>
      <c r="IR9" s="21"/>
      <c r="IS9" s="21"/>
      <c r="IT9" s="21"/>
      <c r="IU9" s="21"/>
      <c r="IV9" s="21"/>
      <c r="IW9" s="21"/>
      <c r="IX9" s="21"/>
      <c r="IY9" s="21"/>
      <c r="IZ9" s="21"/>
      <c r="JA9" s="21"/>
      <c r="JB9" s="21"/>
      <c r="JC9" s="21"/>
      <c r="JD9" s="21"/>
      <c r="JE9" s="21"/>
      <c r="JF9" s="21"/>
      <c r="JG9" s="21"/>
      <c r="JH9" s="21"/>
      <c r="JI9" s="21"/>
      <c r="JJ9" s="21"/>
      <c r="JK9" s="21"/>
      <c r="JL9" s="21"/>
      <c r="JM9" s="21"/>
      <c r="JN9" s="21"/>
      <c r="JO9" s="21"/>
      <c r="JP9" s="21"/>
      <c r="JQ9" s="21"/>
      <c r="JR9" s="21"/>
      <c r="JS9" s="21"/>
      <c r="JT9" s="21"/>
      <c r="JU9" s="21"/>
      <c r="JV9" s="21"/>
      <c r="JW9" s="21"/>
      <c r="JX9" s="21"/>
      <c r="JY9" s="21"/>
      <c r="JZ9" s="21"/>
      <c r="KA9" s="21"/>
      <c r="KB9" s="21"/>
      <c r="KC9" s="21"/>
      <c r="KD9" s="21"/>
      <c r="KE9" s="21"/>
      <c r="KF9" s="21"/>
      <c r="KG9" s="21"/>
      <c r="KH9" s="21"/>
      <c r="KI9" s="21"/>
      <c r="KJ9" s="21"/>
      <c r="KK9" s="21"/>
      <c r="KL9" s="21"/>
      <c r="KM9" s="21"/>
      <c r="KN9" s="21"/>
      <c r="KO9" s="21"/>
      <c r="KP9" s="21"/>
      <c r="KQ9" s="21"/>
      <c r="KR9" s="21"/>
      <c r="KS9" s="21"/>
      <c r="KT9" s="21"/>
      <c r="KU9" s="21"/>
      <c r="KV9" s="21"/>
      <c r="KW9" s="21"/>
      <c r="KX9" s="21"/>
      <c r="KY9" s="21"/>
      <c r="KZ9" s="21"/>
      <c r="LA9" s="21"/>
      <c r="LB9" s="21"/>
      <c r="LC9" s="21"/>
      <c r="LD9" s="21"/>
      <c r="LE9" s="21"/>
      <c r="LF9" s="21"/>
      <c r="LG9" s="21"/>
      <c r="LH9" s="21"/>
      <c r="LI9" s="21"/>
      <c r="LJ9" s="21"/>
      <c r="LK9" s="21"/>
      <c r="LL9" s="21"/>
      <c r="LM9" s="21"/>
      <c r="LN9" s="21"/>
      <c r="LO9" s="21"/>
      <c r="LP9" s="21"/>
      <c r="LQ9" s="21"/>
      <c r="LR9" s="21"/>
      <c r="LS9" s="21"/>
      <c r="LT9" s="21"/>
      <c r="LU9" s="21"/>
      <c r="LV9" s="21"/>
      <c r="LW9" s="21"/>
      <c r="LX9" s="21"/>
      <c r="LY9" s="21"/>
      <c r="LZ9" s="21"/>
      <c r="MA9" s="21"/>
      <c r="MB9" s="21"/>
      <c r="MC9" s="21"/>
      <c r="MD9" s="21"/>
      <c r="ME9" s="21"/>
      <c r="MF9" s="21"/>
      <c r="MG9" s="21"/>
      <c r="MH9" s="21"/>
      <c r="MI9" s="21"/>
      <c r="MJ9" s="21"/>
      <c r="MK9" s="21"/>
      <c r="ML9" s="21"/>
      <c r="MM9" s="21"/>
      <c r="MN9" s="21"/>
      <c r="MO9" s="21"/>
      <c r="MP9" s="21"/>
      <c r="MQ9" s="21"/>
      <c r="MR9" s="21"/>
      <c r="MS9" s="21"/>
      <c r="MT9" s="21"/>
      <c r="MU9" s="21"/>
      <c r="MV9" s="21"/>
      <c r="MW9" s="21"/>
      <c r="MX9" s="21"/>
      <c r="MY9" s="21"/>
      <c r="MZ9" s="21"/>
      <c r="NA9" s="21"/>
      <c r="NB9" s="21"/>
      <c r="NC9" s="21"/>
      <c r="ND9" s="21"/>
      <c r="NE9" s="21"/>
      <c r="NF9" s="21"/>
      <c r="NG9" s="21"/>
      <c r="NH9" s="21"/>
      <c r="NI9" s="21"/>
      <c r="NJ9" s="21"/>
      <c r="NK9" s="21"/>
      <c r="NL9" s="21"/>
      <c r="NM9" s="21"/>
      <c r="NN9" s="21"/>
      <c r="NO9" s="21"/>
      <c r="NP9" s="21"/>
      <c r="NQ9" s="21"/>
      <c r="NR9" s="21"/>
      <c r="NS9" s="21"/>
      <c r="NT9" s="21"/>
      <c r="NU9" s="21"/>
      <c r="NV9" s="21"/>
      <c r="NW9" s="21"/>
      <c r="NX9" s="21"/>
      <c r="NY9" s="21"/>
      <c r="NZ9" s="21"/>
      <c r="OA9" s="21"/>
      <c r="OB9" s="21"/>
      <c r="OC9" s="21"/>
      <c r="OD9" s="21"/>
      <c r="OE9" s="21"/>
      <c r="OF9" s="21"/>
      <c r="OG9" s="21"/>
      <c r="OH9" s="21"/>
      <c r="OI9" s="21"/>
      <c r="OJ9" s="21"/>
      <c r="OK9" s="21"/>
      <c r="OL9" s="21"/>
      <c r="OM9" s="21"/>
      <c r="ON9" s="21"/>
      <c r="OO9" s="21"/>
      <c r="OP9" s="21"/>
      <c r="OQ9" s="21"/>
      <c r="OR9" s="21"/>
      <c r="OS9" s="21"/>
      <c r="OT9" s="21"/>
      <c r="OU9" s="21"/>
      <c r="OV9" s="21"/>
      <c r="OW9" s="21"/>
      <c r="OX9" s="21"/>
      <c r="OY9" s="21"/>
      <c r="OZ9" s="21"/>
      <c r="PA9" s="21"/>
      <c r="PB9" s="21"/>
      <c r="PC9" s="21"/>
      <c r="PD9" s="21"/>
      <c r="PE9" s="21"/>
      <c r="PF9" s="21"/>
      <c r="PG9" s="21"/>
      <c r="PH9" s="21"/>
      <c r="PI9" s="21"/>
      <c r="PJ9" s="21"/>
      <c r="PK9" s="21"/>
      <c r="PL9" s="21"/>
      <c r="PM9" s="21"/>
      <c r="PN9" s="21"/>
      <c r="PO9" s="21"/>
      <c r="PP9" s="21"/>
      <c r="PQ9" s="21"/>
      <c r="PR9" s="21"/>
      <c r="PS9" s="21"/>
      <c r="PT9" s="21"/>
      <c r="PU9" s="21"/>
      <c r="PV9" s="21"/>
      <c r="PW9" s="21"/>
      <c r="PX9" s="21"/>
      <c r="PY9" s="21"/>
      <c r="PZ9" s="21"/>
      <c r="QA9" s="21"/>
      <c r="QB9" s="21"/>
      <c r="QC9" s="21"/>
      <c r="QD9" s="21"/>
      <c r="QE9" s="21"/>
      <c r="QF9" s="21"/>
      <c r="QG9" s="21"/>
      <c r="QH9" s="21"/>
      <c r="QI9" s="21"/>
      <c r="QJ9" s="21"/>
      <c r="QK9" s="21"/>
      <c r="QL9" s="21"/>
      <c r="QM9" s="21"/>
      <c r="QN9" s="21"/>
      <c r="QO9" s="21"/>
      <c r="QP9" s="21"/>
      <c r="QQ9" s="21"/>
      <c r="QR9" s="21"/>
      <c r="QS9" s="21"/>
      <c r="QT9" s="21"/>
      <c r="QU9" s="21"/>
      <c r="QV9" s="21"/>
      <c r="QW9" s="21"/>
      <c r="QX9" s="21"/>
      <c r="QY9" s="21"/>
      <c r="QZ9" s="21"/>
      <c r="RA9" s="21"/>
      <c r="RB9" s="21"/>
      <c r="RC9" s="21"/>
      <c r="RD9" s="21"/>
      <c r="RE9" s="21"/>
      <c r="RF9" s="21"/>
      <c r="RG9" s="21"/>
      <c r="RH9" s="21"/>
      <c r="RI9" s="21"/>
      <c r="RJ9" s="21"/>
      <c r="RK9" s="21"/>
      <c r="RL9" s="21"/>
      <c r="RM9" s="21"/>
      <c r="RN9" s="21"/>
      <c r="RO9" s="21"/>
      <c r="RP9" s="21"/>
      <c r="RQ9" s="21"/>
      <c r="RR9" s="21"/>
      <c r="RS9" s="21"/>
      <c r="RT9" s="21"/>
      <c r="RU9" s="21"/>
      <c r="RV9" s="21"/>
      <c r="RW9" s="21"/>
      <c r="RX9" s="21"/>
      <c r="RY9" s="21"/>
      <c r="RZ9" s="21"/>
      <c r="SA9" s="21"/>
      <c r="SB9" s="21"/>
      <c r="SC9" s="21"/>
      <c r="SD9" s="21"/>
      <c r="SE9" s="21"/>
      <c r="SF9" s="21"/>
      <c r="SG9" s="21"/>
      <c r="SH9" s="21"/>
      <c r="SI9" s="21"/>
      <c r="SJ9" s="21"/>
      <c r="SK9" s="21"/>
      <c r="SL9" s="21"/>
      <c r="SM9" s="21"/>
      <c r="SN9" s="21"/>
      <c r="SO9" s="21"/>
      <c r="SP9" s="21"/>
      <c r="SQ9" s="21"/>
      <c r="SR9" s="21"/>
      <c r="SS9" s="21"/>
      <c r="ST9" s="21"/>
      <c r="SU9" s="21"/>
      <c r="SV9" s="21"/>
      <c r="SW9" s="21"/>
      <c r="SX9" s="21"/>
      <c r="SY9" s="21"/>
      <c r="SZ9" s="21"/>
      <c r="TA9" s="21"/>
      <c r="TB9" s="21"/>
      <c r="TC9" s="21"/>
      <c r="TD9" s="21"/>
      <c r="TE9" s="21"/>
      <c r="TF9" s="21"/>
      <c r="TG9" s="21"/>
      <c r="TH9" s="21"/>
      <c r="TI9" s="21"/>
      <c r="TJ9" s="21"/>
      <c r="TK9" s="21"/>
      <c r="TL9" s="21"/>
      <c r="TM9" s="21"/>
      <c r="TN9" s="21"/>
      <c r="TO9" s="21"/>
      <c r="TP9" s="21"/>
      <c r="TQ9" s="21"/>
      <c r="TR9" s="21"/>
      <c r="TS9" s="21"/>
      <c r="TT9" s="21"/>
      <c r="TU9" s="21"/>
      <c r="TV9" s="21"/>
      <c r="TW9" s="21"/>
      <c r="TX9" s="21"/>
      <c r="TY9" s="21"/>
      <c r="TZ9" s="21"/>
      <c r="UA9" s="21"/>
      <c r="UB9" s="21"/>
      <c r="UC9" s="21"/>
      <c r="UD9" s="21"/>
      <c r="UE9" s="21"/>
      <c r="UF9" s="21"/>
      <c r="UG9" s="21"/>
      <c r="UH9" s="21"/>
      <c r="UI9" s="21"/>
      <c r="UJ9" s="21"/>
      <c r="UK9" s="21"/>
      <c r="UL9" s="21"/>
      <c r="UM9" s="21"/>
      <c r="UN9" s="21"/>
      <c r="UO9" s="21"/>
      <c r="UP9" s="21"/>
      <c r="UQ9" s="21"/>
      <c r="UR9" s="21"/>
      <c r="US9" s="21"/>
      <c r="UT9" s="21"/>
      <c r="UU9" s="21"/>
      <c r="UV9" s="21"/>
      <c r="UW9" s="21"/>
      <c r="UX9" s="21"/>
      <c r="UY9" s="21"/>
      <c r="UZ9" s="21"/>
      <c r="VA9" s="21"/>
      <c r="VB9" s="21"/>
      <c r="VC9" s="21"/>
      <c r="VD9" s="21"/>
      <c r="VE9" s="21"/>
      <c r="VF9" s="21"/>
      <c r="VG9" s="21"/>
      <c r="VH9" s="21"/>
      <c r="VI9" s="21"/>
      <c r="VJ9" s="21"/>
      <c r="VK9" s="21"/>
      <c r="VL9" s="21"/>
      <c r="VM9" s="21"/>
      <c r="VN9" s="21"/>
      <c r="VO9" s="21"/>
      <c r="VP9" s="21"/>
      <c r="VQ9" s="21"/>
      <c r="VR9" s="21"/>
      <c r="VS9" s="21"/>
      <c r="VT9" s="21"/>
      <c r="VU9" s="21"/>
      <c r="VV9" s="21"/>
      <c r="VW9" s="21"/>
      <c r="VX9" s="21"/>
      <c r="VY9" s="21"/>
      <c r="VZ9" s="21"/>
      <c r="WA9" s="21"/>
      <c r="WB9" s="21"/>
      <c r="WC9" s="21"/>
      <c r="WD9" s="21"/>
      <c r="WE9" s="21"/>
      <c r="WF9" s="21"/>
      <c r="WG9" s="21"/>
      <c r="WH9" s="21"/>
      <c r="WI9" s="21"/>
      <c r="WJ9" s="21"/>
      <c r="WK9" s="21"/>
      <c r="WL9" s="21"/>
      <c r="WM9" s="21"/>
      <c r="WN9" s="21"/>
      <c r="WO9" s="21"/>
      <c r="WP9" s="21"/>
      <c r="WQ9" s="21"/>
      <c r="WR9" s="21"/>
      <c r="WS9" s="21"/>
      <c r="WT9" s="21"/>
      <c r="WU9" s="21"/>
      <c r="WV9" s="21"/>
      <c r="WW9" s="21"/>
      <c r="WX9" s="21"/>
      <c r="WY9" s="21"/>
      <c r="WZ9" s="21"/>
      <c r="XA9" s="21"/>
      <c r="XB9" s="21"/>
      <c r="XC9" s="21"/>
      <c r="XD9" s="21"/>
      <c r="XE9" s="21"/>
      <c r="XF9" s="21"/>
      <c r="XG9" s="21"/>
      <c r="XH9" s="21"/>
      <c r="XI9" s="21"/>
      <c r="XJ9" s="21"/>
      <c r="XK9" s="21"/>
      <c r="XL9" s="21"/>
      <c r="XM9" s="21"/>
      <c r="XN9" s="21"/>
      <c r="XO9" s="21"/>
      <c r="XP9" s="21"/>
      <c r="XQ9" s="21"/>
      <c r="XR9" s="21"/>
      <c r="XS9" s="21"/>
      <c r="XT9" s="21"/>
      <c r="XU9" s="21"/>
      <c r="XV9" s="21"/>
      <c r="XW9" s="21"/>
      <c r="XX9" s="21"/>
      <c r="XY9" s="21"/>
      <c r="XZ9" s="21"/>
      <c r="YA9" s="21"/>
      <c r="YB9" s="21"/>
      <c r="YC9" s="21"/>
      <c r="YD9" s="21"/>
      <c r="YE9" s="21"/>
      <c r="YF9" s="21"/>
      <c r="YG9" s="21"/>
      <c r="YH9" s="21"/>
      <c r="YI9" s="21"/>
      <c r="YJ9" s="21"/>
      <c r="YK9" s="21"/>
      <c r="YL9" s="21"/>
      <c r="YM9" s="21"/>
      <c r="YN9" s="21"/>
      <c r="YO9" s="21"/>
      <c r="YP9" s="21"/>
      <c r="YQ9" s="21"/>
      <c r="YR9" s="21"/>
      <c r="YS9" s="21"/>
      <c r="YT9" s="21"/>
      <c r="YU9" s="21"/>
      <c r="YV9" s="21"/>
      <c r="YW9" s="21"/>
      <c r="YX9" s="21"/>
      <c r="YY9" s="21"/>
      <c r="YZ9" s="21"/>
      <c r="ZA9" s="21"/>
      <c r="ZB9" s="21"/>
      <c r="ZC9" s="21"/>
      <c r="ZD9" s="21"/>
      <c r="ZE9" s="21"/>
      <c r="ZF9" s="21"/>
      <c r="ZG9" s="21"/>
      <c r="ZH9" s="21"/>
      <c r="ZI9" s="21"/>
      <c r="ZJ9" s="21"/>
      <c r="ZK9" s="21"/>
      <c r="ZL9" s="21"/>
      <c r="ZM9" s="21"/>
      <c r="ZN9" s="21"/>
      <c r="ZO9" s="21"/>
      <c r="ZP9" s="21"/>
      <c r="ZQ9" s="21"/>
      <c r="ZR9" s="21"/>
      <c r="ZS9" s="21"/>
      <c r="ZT9" s="21"/>
      <c r="ZU9" s="21"/>
      <c r="ZV9" s="21"/>
      <c r="ZW9" s="21"/>
      <c r="ZX9" s="21"/>
      <c r="ZY9" s="21"/>
      <c r="ZZ9" s="21"/>
      <c r="AAA9" s="21"/>
      <c r="AAB9" s="21"/>
      <c r="AAC9" s="21"/>
      <c r="AAD9" s="21"/>
      <c r="AAE9" s="21"/>
      <c r="AAF9" s="21"/>
    </row>
    <row r="10" spans="1:708" s="33" customFormat="1" ht="51" customHeight="1" x14ac:dyDescent="0.25">
      <c r="A10" s="504"/>
      <c r="B10" s="506"/>
      <c r="C10" s="514" t="s">
        <v>45</v>
      </c>
      <c r="D10" s="514" t="s">
        <v>46</v>
      </c>
      <c r="E10" s="514" t="s">
        <v>47</v>
      </c>
      <c r="F10" s="514" t="s">
        <v>48</v>
      </c>
      <c r="G10" s="514" t="s">
        <v>49</v>
      </c>
      <c r="H10" s="514" t="s">
        <v>50</v>
      </c>
      <c r="I10" s="514" t="s">
        <v>78</v>
      </c>
      <c r="J10" s="514" t="s">
        <v>52</v>
      </c>
      <c r="K10" s="514" t="s">
        <v>53</v>
      </c>
      <c r="L10" s="514" t="s">
        <v>79</v>
      </c>
      <c r="M10" s="514" t="s">
        <v>80</v>
      </c>
      <c r="N10" s="514" t="s">
        <v>56</v>
      </c>
      <c r="O10" s="514"/>
      <c r="P10" s="514">
        <v>2488</v>
      </c>
      <c r="Q10" s="44" t="s">
        <v>81</v>
      </c>
      <c r="R10" s="44" t="s">
        <v>82</v>
      </c>
      <c r="S10" s="45" t="s">
        <v>56</v>
      </c>
      <c r="T10" s="44"/>
      <c r="U10" s="45">
        <v>989</v>
      </c>
      <c r="V10" s="25">
        <v>2932575877</v>
      </c>
      <c r="W10" s="511"/>
      <c r="X10" s="26" t="s">
        <v>59</v>
      </c>
      <c r="Y10" s="517">
        <f>+Y18+Y26+Y34+Y42+Y50</f>
        <v>49</v>
      </c>
      <c r="Z10" s="536">
        <f>+P10</f>
        <v>2488</v>
      </c>
      <c r="AA10" s="539">
        <f>Y10/Z10</f>
        <v>1.9694533762057879E-2</v>
      </c>
      <c r="AB10" s="542" t="s">
        <v>83</v>
      </c>
      <c r="AC10" s="27">
        <f>+AC18+AC26+AC34+AC42+AC50</f>
        <v>87</v>
      </c>
      <c r="AD10" s="27">
        <f>+U10</f>
        <v>989</v>
      </c>
      <c r="AE10" s="28">
        <f>+AC10/AD10</f>
        <v>8.7967644084934279E-2</v>
      </c>
      <c r="AF10" s="29" t="s">
        <v>84</v>
      </c>
      <c r="AG10" s="545">
        <v>190</v>
      </c>
      <c r="AH10" s="548">
        <v>2488</v>
      </c>
      <c r="AI10" s="551">
        <v>7.6366559485530547E-2</v>
      </c>
      <c r="AJ10" s="554" t="s">
        <v>85</v>
      </c>
      <c r="AK10" s="30">
        <v>192</v>
      </c>
      <c r="AL10" s="30">
        <v>989</v>
      </c>
      <c r="AM10" s="31">
        <v>0.19413549039433772</v>
      </c>
      <c r="AN10" s="32" t="s">
        <v>86</v>
      </c>
      <c r="AO10" s="545">
        <f>+AO18+AO26+AO34+AO42+AO50</f>
        <v>340</v>
      </c>
      <c r="AP10" s="548">
        <f>+P10</f>
        <v>2488</v>
      </c>
      <c r="AQ10" s="551">
        <f>AO10/AP10</f>
        <v>0.13665594855305466</v>
      </c>
      <c r="AR10" s="554" t="s">
        <v>87</v>
      </c>
      <c r="AS10" s="30">
        <f>+AS18+AS26+AS34+AS42+AS50</f>
        <v>274</v>
      </c>
      <c r="AT10" s="30">
        <f>+U10</f>
        <v>989</v>
      </c>
      <c r="AU10" s="31">
        <f>+AS10/AT10</f>
        <v>0.27704752275025279</v>
      </c>
      <c r="AV10" s="32" t="s">
        <v>88</v>
      </c>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c r="II10" s="21"/>
      <c r="IJ10" s="21"/>
      <c r="IK10" s="21"/>
      <c r="IL10" s="21"/>
      <c r="IM10" s="21"/>
      <c r="IN10" s="21"/>
      <c r="IO10" s="21"/>
      <c r="IP10" s="21"/>
      <c r="IQ10" s="21"/>
      <c r="IR10" s="21"/>
      <c r="IS10" s="21"/>
      <c r="IT10" s="21"/>
      <c r="IU10" s="21"/>
      <c r="IV10" s="21"/>
      <c r="IW10" s="21"/>
      <c r="IX10" s="21"/>
      <c r="IY10" s="21"/>
      <c r="IZ10" s="21"/>
      <c r="JA10" s="21"/>
      <c r="JB10" s="21"/>
      <c r="JC10" s="21"/>
      <c r="JD10" s="21"/>
      <c r="JE10" s="21"/>
      <c r="JF10" s="21"/>
      <c r="JG10" s="21"/>
      <c r="JH10" s="21"/>
      <c r="JI10" s="21"/>
      <c r="JJ10" s="21"/>
      <c r="JK10" s="21"/>
      <c r="JL10" s="21"/>
      <c r="JM10" s="21"/>
      <c r="JN10" s="21"/>
      <c r="JO10" s="21"/>
      <c r="JP10" s="21"/>
      <c r="JQ10" s="21"/>
      <c r="JR10" s="21"/>
      <c r="JS10" s="21"/>
      <c r="JT10" s="21"/>
      <c r="JU10" s="21"/>
      <c r="JV10" s="21"/>
      <c r="JW10" s="21"/>
      <c r="JX10" s="21"/>
      <c r="JY10" s="21"/>
      <c r="JZ10" s="21"/>
      <c r="KA10" s="21"/>
      <c r="KB10" s="21"/>
      <c r="KC10" s="21"/>
      <c r="KD10" s="21"/>
      <c r="KE10" s="21"/>
      <c r="KF10" s="21"/>
      <c r="KG10" s="21"/>
      <c r="KH10" s="21"/>
      <c r="KI10" s="21"/>
      <c r="KJ10" s="21"/>
      <c r="KK10" s="21"/>
      <c r="KL10" s="21"/>
      <c r="KM10" s="21"/>
      <c r="KN10" s="21"/>
      <c r="KO10" s="21"/>
      <c r="KP10" s="21"/>
      <c r="KQ10" s="21"/>
      <c r="KR10" s="21"/>
      <c r="KS10" s="21"/>
      <c r="KT10" s="21"/>
      <c r="KU10" s="21"/>
      <c r="KV10" s="21"/>
      <c r="KW10" s="21"/>
      <c r="KX10" s="21"/>
      <c r="KY10" s="21"/>
      <c r="KZ10" s="21"/>
      <c r="LA10" s="21"/>
      <c r="LB10" s="21"/>
      <c r="LC10" s="21"/>
      <c r="LD10" s="21"/>
      <c r="LE10" s="21"/>
      <c r="LF10" s="21"/>
      <c r="LG10" s="21"/>
      <c r="LH10" s="21"/>
      <c r="LI10" s="21"/>
      <c r="LJ10" s="21"/>
      <c r="LK10" s="21"/>
      <c r="LL10" s="21"/>
      <c r="LM10" s="21"/>
      <c r="LN10" s="21"/>
      <c r="LO10" s="21"/>
      <c r="LP10" s="21"/>
      <c r="LQ10" s="21"/>
      <c r="LR10" s="21"/>
      <c r="LS10" s="21"/>
      <c r="LT10" s="21"/>
      <c r="LU10" s="21"/>
      <c r="LV10" s="21"/>
      <c r="LW10" s="21"/>
      <c r="LX10" s="21"/>
      <c r="LY10" s="21"/>
      <c r="LZ10" s="21"/>
      <c r="MA10" s="21"/>
      <c r="MB10" s="21"/>
      <c r="MC10" s="21"/>
      <c r="MD10" s="21"/>
      <c r="ME10" s="21"/>
      <c r="MF10" s="21"/>
      <c r="MG10" s="21"/>
      <c r="MH10" s="21"/>
      <c r="MI10" s="21"/>
      <c r="MJ10" s="21"/>
      <c r="MK10" s="21"/>
      <c r="ML10" s="21"/>
      <c r="MM10" s="21"/>
      <c r="MN10" s="21"/>
      <c r="MO10" s="21"/>
      <c r="MP10" s="21"/>
      <c r="MQ10" s="21"/>
      <c r="MR10" s="21"/>
      <c r="MS10" s="21"/>
      <c r="MT10" s="21"/>
      <c r="MU10" s="21"/>
      <c r="MV10" s="21"/>
      <c r="MW10" s="21"/>
      <c r="MX10" s="21"/>
      <c r="MY10" s="21"/>
      <c r="MZ10" s="21"/>
      <c r="NA10" s="21"/>
      <c r="NB10" s="21"/>
      <c r="NC10" s="21"/>
      <c r="ND10" s="21"/>
      <c r="NE10" s="21"/>
      <c r="NF10" s="21"/>
      <c r="NG10" s="21"/>
      <c r="NH10" s="21"/>
      <c r="NI10" s="21"/>
      <c r="NJ10" s="21"/>
      <c r="NK10" s="21"/>
      <c r="NL10" s="21"/>
      <c r="NM10" s="21"/>
      <c r="NN10" s="21"/>
      <c r="NO10" s="21"/>
      <c r="NP10" s="21"/>
      <c r="NQ10" s="21"/>
      <c r="NR10" s="21"/>
      <c r="NS10" s="21"/>
      <c r="NT10" s="21"/>
      <c r="NU10" s="21"/>
      <c r="NV10" s="21"/>
      <c r="NW10" s="21"/>
      <c r="NX10" s="21"/>
      <c r="NY10" s="21"/>
      <c r="NZ10" s="21"/>
      <c r="OA10" s="21"/>
      <c r="OB10" s="21"/>
      <c r="OC10" s="21"/>
      <c r="OD10" s="21"/>
      <c r="OE10" s="21"/>
      <c r="OF10" s="21"/>
      <c r="OG10" s="21"/>
      <c r="OH10" s="21"/>
      <c r="OI10" s="21"/>
      <c r="OJ10" s="21"/>
      <c r="OK10" s="21"/>
      <c r="OL10" s="21"/>
      <c r="OM10" s="21"/>
      <c r="ON10" s="21"/>
      <c r="OO10" s="21"/>
      <c r="OP10" s="21"/>
      <c r="OQ10" s="21"/>
      <c r="OR10" s="21"/>
      <c r="OS10" s="21"/>
      <c r="OT10" s="21"/>
      <c r="OU10" s="21"/>
      <c r="OV10" s="21"/>
      <c r="OW10" s="21"/>
      <c r="OX10" s="21"/>
      <c r="OY10" s="21"/>
      <c r="OZ10" s="21"/>
      <c r="PA10" s="21"/>
      <c r="PB10" s="21"/>
      <c r="PC10" s="21"/>
      <c r="PD10" s="21"/>
      <c r="PE10" s="21"/>
      <c r="PF10" s="21"/>
      <c r="PG10" s="21"/>
      <c r="PH10" s="21"/>
      <c r="PI10" s="21"/>
      <c r="PJ10" s="21"/>
      <c r="PK10" s="21"/>
      <c r="PL10" s="21"/>
      <c r="PM10" s="21"/>
      <c r="PN10" s="21"/>
      <c r="PO10" s="21"/>
      <c r="PP10" s="21"/>
      <c r="PQ10" s="21"/>
      <c r="PR10" s="21"/>
      <c r="PS10" s="21"/>
      <c r="PT10" s="21"/>
      <c r="PU10" s="21"/>
      <c r="PV10" s="21"/>
      <c r="PW10" s="21"/>
      <c r="PX10" s="21"/>
      <c r="PY10" s="21"/>
      <c r="PZ10" s="21"/>
      <c r="QA10" s="21"/>
      <c r="QB10" s="21"/>
      <c r="QC10" s="21"/>
      <c r="QD10" s="21"/>
      <c r="QE10" s="21"/>
      <c r="QF10" s="21"/>
      <c r="QG10" s="21"/>
      <c r="QH10" s="21"/>
      <c r="QI10" s="21"/>
      <c r="QJ10" s="21"/>
      <c r="QK10" s="21"/>
      <c r="QL10" s="21"/>
      <c r="QM10" s="21"/>
      <c r="QN10" s="21"/>
      <c r="QO10" s="21"/>
      <c r="QP10" s="21"/>
      <c r="QQ10" s="21"/>
      <c r="QR10" s="21"/>
      <c r="QS10" s="21"/>
      <c r="QT10" s="21"/>
      <c r="QU10" s="21"/>
      <c r="QV10" s="21"/>
      <c r="QW10" s="21"/>
      <c r="QX10" s="21"/>
      <c r="QY10" s="21"/>
      <c r="QZ10" s="21"/>
      <c r="RA10" s="21"/>
      <c r="RB10" s="21"/>
      <c r="RC10" s="21"/>
      <c r="RD10" s="21"/>
      <c r="RE10" s="21"/>
      <c r="RF10" s="21"/>
      <c r="RG10" s="21"/>
      <c r="RH10" s="21"/>
      <c r="RI10" s="21"/>
      <c r="RJ10" s="21"/>
      <c r="RK10" s="21"/>
      <c r="RL10" s="21"/>
      <c r="RM10" s="21"/>
      <c r="RN10" s="21"/>
      <c r="RO10" s="21"/>
      <c r="RP10" s="21"/>
      <c r="RQ10" s="21"/>
      <c r="RR10" s="21"/>
      <c r="RS10" s="21"/>
      <c r="RT10" s="21"/>
      <c r="RU10" s="21"/>
      <c r="RV10" s="21"/>
      <c r="RW10" s="21"/>
      <c r="RX10" s="21"/>
      <c r="RY10" s="21"/>
      <c r="RZ10" s="21"/>
      <c r="SA10" s="21"/>
      <c r="SB10" s="21"/>
      <c r="SC10" s="21"/>
      <c r="SD10" s="21"/>
      <c r="SE10" s="21"/>
      <c r="SF10" s="21"/>
      <c r="SG10" s="21"/>
      <c r="SH10" s="21"/>
      <c r="SI10" s="21"/>
      <c r="SJ10" s="21"/>
      <c r="SK10" s="21"/>
      <c r="SL10" s="21"/>
      <c r="SM10" s="21"/>
      <c r="SN10" s="21"/>
      <c r="SO10" s="21"/>
      <c r="SP10" s="21"/>
      <c r="SQ10" s="21"/>
      <c r="SR10" s="21"/>
      <c r="SS10" s="21"/>
      <c r="ST10" s="21"/>
      <c r="SU10" s="21"/>
      <c r="SV10" s="21"/>
      <c r="SW10" s="21"/>
      <c r="SX10" s="21"/>
      <c r="SY10" s="21"/>
      <c r="SZ10" s="21"/>
      <c r="TA10" s="21"/>
      <c r="TB10" s="21"/>
      <c r="TC10" s="21"/>
      <c r="TD10" s="21"/>
      <c r="TE10" s="21"/>
      <c r="TF10" s="21"/>
      <c r="TG10" s="21"/>
      <c r="TH10" s="21"/>
      <c r="TI10" s="21"/>
      <c r="TJ10" s="21"/>
      <c r="TK10" s="21"/>
      <c r="TL10" s="21"/>
      <c r="TM10" s="21"/>
      <c r="TN10" s="21"/>
      <c r="TO10" s="21"/>
      <c r="TP10" s="21"/>
      <c r="TQ10" s="21"/>
      <c r="TR10" s="21"/>
      <c r="TS10" s="21"/>
      <c r="TT10" s="21"/>
      <c r="TU10" s="21"/>
      <c r="TV10" s="21"/>
      <c r="TW10" s="21"/>
      <c r="TX10" s="21"/>
      <c r="TY10" s="21"/>
      <c r="TZ10" s="21"/>
      <c r="UA10" s="21"/>
      <c r="UB10" s="21"/>
      <c r="UC10" s="21"/>
      <c r="UD10" s="21"/>
      <c r="UE10" s="21"/>
      <c r="UF10" s="21"/>
      <c r="UG10" s="21"/>
      <c r="UH10" s="21"/>
      <c r="UI10" s="21"/>
      <c r="UJ10" s="21"/>
      <c r="UK10" s="21"/>
      <c r="UL10" s="21"/>
      <c r="UM10" s="21"/>
      <c r="UN10" s="21"/>
      <c r="UO10" s="21"/>
      <c r="UP10" s="21"/>
      <c r="UQ10" s="21"/>
      <c r="UR10" s="21"/>
      <c r="US10" s="21"/>
      <c r="UT10" s="21"/>
      <c r="UU10" s="21"/>
      <c r="UV10" s="21"/>
      <c r="UW10" s="21"/>
      <c r="UX10" s="21"/>
      <c r="UY10" s="21"/>
      <c r="UZ10" s="21"/>
      <c r="VA10" s="21"/>
      <c r="VB10" s="21"/>
      <c r="VC10" s="21"/>
      <c r="VD10" s="21"/>
      <c r="VE10" s="21"/>
      <c r="VF10" s="21"/>
      <c r="VG10" s="21"/>
      <c r="VH10" s="21"/>
      <c r="VI10" s="21"/>
      <c r="VJ10" s="21"/>
      <c r="VK10" s="21"/>
      <c r="VL10" s="21"/>
      <c r="VM10" s="21"/>
      <c r="VN10" s="21"/>
      <c r="VO10" s="21"/>
      <c r="VP10" s="21"/>
      <c r="VQ10" s="21"/>
      <c r="VR10" s="21"/>
      <c r="VS10" s="21"/>
      <c r="VT10" s="21"/>
      <c r="VU10" s="21"/>
      <c r="VV10" s="21"/>
      <c r="VW10" s="21"/>
      <c r="VX10" s="21"/>
      <c r="VY10" s="21"/>
      <c r="VZ10" s="21"/>
      <c r="WA10" s="21"/>
      <c r="WB10" s="21"/>
      <c r="WC10" s="21"/>
      <c r="WD10" s="21"/>
      <c r="WE10" s="21"/>
      <c r="WF10" s="21"/>
      <c r="WG10" s="21"/>
      <c r="WH10" s="21"/>
      <c r="WI10" s="21"/>
      <c r="WJ10" s="21"/>
      <c r="WK10" s="21"/>
      <c r="WL10" s="21"/>
      <c r="WM10" s="21"/>
      <c r="WN10" s="21"/>
      <c r="WO10" s="21"/>
      <c r="WP10" s="21"/>
      <c r="WQ10" s="21"/>
      <c r="WR10" s="21"/>
      <c r="WS10" s="21"/>
      <c r="WT10" s="21"/>
      <c r="WU10" s="21"/>
      <c r="WV10" s="21"/>
      <c r="WW10" s="21"/>
      <c r="WX10" s="21"/>
      <c r="WY10" s="21"/>
      <c r="WZ10" s="21"/>
      <c r="XA10" s="21"/>
      <c r="XB10" s="21"/>
      <c r="XC10" s="21"/>
      <c r="XD10" s="21"/>
      <c r="XE10" s="21"/>
      <c r="XF10" s="21"/>
      <c r="XG10" s="21"/>
      <c r="XH10" s="21"/>
      <c r="XI10" s="21"/>
      <c r="XJ10" s="21"/>
      <c r="XK10" s="21"/>
      <c r="XL10" s="21"/>
      <c r="XM10" s="21"/>
      <c r="XN10" s="21"/>
      <c r="XO10" s="21"/>
      <c r="XP10" s="21"/>
      <c r="XQ10" s="21"/>
      <c r="XR10" s="21"/>
      <c r="XS10" s="21"/>
      <c r="XT10" s="21"/>
      <c r="XU10" s="21"/>
      <c r="XV10" s="21"/>
      <c r="XW10" s="21"/>
      <c r="XX10" s="21"/>
      <c r="XY10" s="21"/>
      <c r="XZ10" s="21"/>
      <c r="YA10" s="21"/>
      <c r="YB10" s="21"/>
      <c r="YC10" s="21"/>
      <c r="YD10" s="21"/>
      <c r="YE10" s="21"/>
      <c r="YF10" s="21"/>
      <c r="YG10" s="21"/>
      <c r="YH10" s="21"/>
      <c r="YI10" s="21"/>
      <c r="YJ10" s="21"/>
      <c r="YK10" s="21"/>
      <c r="YL10" s="21"/>
      <c r="YM10" s="21"/>
      <c r="YN10" s="21"/>
      <c r="YO10" s="21"/>
      <c r="YP10" s="21"/>
      <c r="YQ10" s="21"/>
      <c r="YR10" s="21"/>
      <c r="YS10" s="21"/>
      <c r="YT10" s="21"/>
      <c r="YU10" s="21"/>
      <c r="YV10" s="21"/>
      <c r="YW10" s="21"/>
      <c r="YX10" s="21"/>
      <c r="YY10" s="21"/>
      <c r="YZ10" s="21"/>
      <c r="ZA10" s="21"/>
      <c r="ZB10" s="21"/>
      <c r="ZC10" s="21"/>
      <c r="ZD10" s="21"/>
      <c r="ZE10" s="21"/>
      <c r="ZF10" s="21"/>
      <c r="ZG10" s="21"/>
      <c r="ZH10" s="21"/>
      <c r="ZI10" s="21"/>
      <c r="ZJ10" s="21"/>
      <c r="ZK10" s="21"/>
      <c r="ZL10" s="21"/>
      <c r="ZM10" s="21"/>
      <c r="ZN10" s="21"/>
      <c r="ZO10" s="21"/>
      <c r="ZP10" s="21"/>
      <c r="ZQ10" s="21"/>
      <c r="ZR10" s="21"/>
      <c r="ZS10" s="21"/>
      <c r="ZT10" s="21"/>
      <c r="ZU10" s="21"/>
      <c r="ZV10" s="21"/>
      <c r="ZW10" s="21"/>
      <c r="ZX10" s="21"/>
      <c r="ZY10" s="21"/>
      <c r="ZZ10" s="21"/>
      <c r="AAA10" s="21"/>
      <c r="AAB10" s="21"/>
      <c r="AAC10" s="21"/>
      <c r="AAD10" s="21"/>
      <c r="AAE10" s="21"/>
      <c r="AAF10" s="21"/>
    </row>
    <row r="11" spans="1:708" s="22" customFormat="1" ht="38.25" customHeight="1" x14ac:dyDescent="0.25">
      <c r="A11" s="504"/>
      <c r="B11" s="506"/>
      <c r="C11" s="515"/>
      <c r="D11" s="515"/>
      <c r="E11" s="515"/>
      <c r="F11" s="515"/>
      <c r="G11" s="515"/>
      <c r="H11" s="515"/>
      <c r="I11" s="515"/>
      <c r="J11" s="515"/>
      <c r="K11" s="515"/>
      <c r="L11" s="515"/>
      <c r="M11" s="515"/>
      <c r="N11" s="515"/>
      <c r="O11" s="515"/>
      <c r="P11" s="516"/>
      <c r="Q11" s="14" t="s">
        <v>89</v>
      </c>
      <c r="R11" s="14" t="s">
        <v>90</v>
      </c>
      <c r="S11" s="15" t="s">
        <v>56</v>
      </c>
      <c r="T11" s="14"/>
      <c r="U11" s="15">
        <v>2355</v>
      </c>
      <c r="V11" s="16">
        <v>2932575877</v>
      </c>
      <c r="W11" s="511"/>
      <c r="X11" s="17" t="s">
        <v>59</v>
      </c>
      <c r="Y11" s="518"/>
      <c r="Z11" s="537"/>
      <c r="AA11" s="540"/>
      <c r="AB11" s="543"/>
      <c r="AC11" s="15">
        <f>+AC19+AC27+AC35+AC43+AC51+AC20+AC28+AC36+AC44+AC52</f>
        <v>65</v>
      </c>
      <c r="AD11" s="15">
        <f>+U11</f>
        <v>2355</v>
      </c>
      <c r="AE11" s="18">
        <f>+AC11/AD11</f>
        <v>2.7600849256900213E-2</v>
      </c>
      <c r="AF11" s="15" t="s">
        <v>91</v>
      </c>
      <c r="AG11" s="546"/>
      <c r="AH11" s="549"/>
      <c r="AI11" s="552"/>
      <c r="AJ11" s="555"/>
      <c r="AK11" s="19">
        <v>224</v>
      </c>
      <c r="AL11" s="19">
        <v>2355</v>
      </c>
      <c r="AM11" s="20">
        <v>9.51167728237792E-2</v>
      </c>
      <c r="AN11" s="19" t="s">
        <v>92</v>
      </c>
      <c r="AO11" s="546"/>
      <c r="AP11" s="549"/>
      <c r="AQ11" s="552"/>
      <c r="AR11" s="555"/>
      <c r="AS11" s="19">
        <f>+AS19+AS27+AS35+AS43+AS51+AS20+AS28+AS36+AS44+AS52</f>
        <v>450</v>
      </c>
      <c r="AT11" s="19">
        <f>+U11</f>
        <v>2355</v>
      </c>
      <c r="AU11" s="20">
        <f>+AS11/AT11</f>
        <v>0.19108280254777071</v>
      </c>
      <c r="AV11" s="19" t="s">
        <v>93</v>
      </c>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c r="IQ11" s="21"/>
      <c r="IR11" s="21"/>
      <c r="IS11" s="21"/>
      <c r="IT11" s="21"/>
      <c r="IU11" s="21"/>
      <c r="IV11" s="21"/>
      <c r="IW11" s="21"/>
      <c r="IX11" s="21"/>
      <c r="IY11" s="21"/>
      <c r="IZ11" s="21"/>
      <c r="JA11" s="21"/>
      <c r="JB11" s="21"/>
      <c r="JC11" s="21"/>
      <c r="JD11" s="21"/>
      <c r="JE11" s="21"/>
      <c r="JF11" s="21"/>
      <c r="JG11" s="21"/>
      <c r="JH11" s="21"/>
      <c r="JI11" s="21"/>
      <c r="JJ11" s="21"/>
      <c r="JK11" s="21"/>
      <c r="JL11" s="21"/>
      <c r="JM11" s="21"/>
      <c r="JN11" s="21"/>
      <c r="JO11" s="21"/>
      <c r="JP11" s="21"/>
      <c r="JQ11" s="21"/>
      <c r="JR11" s="21"/>
      <c r="JS11" s="21"/>
      <c r="JT11" s="21"/>
      <c r="JU11" s="21"/>
      <c r="JV11" s="21"/>
      <c r="JW11" s="21"/>
      <c r="JX11" s="21"/>
      <c r="JY11" s="21"/>
      <c r="JZ11" s="21"/>
      <c r="KA11" s="21"/>
      <c r="KB11" s="21"/>
      <c r="KC11" s="21"/>
      <c r="KD11" s="21"/>
      <c r="KE11" s="21"/>
      <c r="KF11" s="21"/>
      <c r="KG11" s="21"/>
      <c r="KH11" s="21"/>
      <c r="KI11" s="21"/>
      <c r="KJ11" s="21"/>
      <c r="KK11" s="21"/>
      <c r="KL11" s="21"/>
      <c r="KM11" s="21"/>
      <c r="KN11" s="21"/>
      <c r="KO11" s="21"/>
      <c r="KP11" s="21"/>
      <c r="KQ11" s="21"/>
      <c r="KR11" s="21"/>
      <c r="KS11" s="21"/>
      <c r="KT11" s="21"/>
      <c r="KU11" s="21"/>
      <c r="KV11" s="21"/>
      <c r="KW11" s="21"/>
      <c r="KX11" s="21"/>
      <c r="KY11" s="21"/>
      <c r="KZ11" s="21"/>
      <c r="LA11" s="21"/>
      <c r="LB11" s="21"/>
      <c r="LC11" s="21"/>
      <c r="LD11" s="21"/>
      <c r="LE11" s="21"/>
      <c r="LF11" s="21"/>
      <c r="LG11" s="21"/>
      <c r="LH11" s="21"/>
      <c r="LI11" s="21"/>
      <c r="LJ11" s="21"/>
      <c r="LK11" s="21"/>
      <c r="LL11" s="21"/>
      <c r="LM11" s="21"/>
      <c r="LN11" s="21"/>
      <c r="LO11" s="21"/>
      <c r="LP11" s="21"/>
      <c r="LQ11" s="21"/>
      <c r="LR11" s="21"/>
      <c r="LS11" s="21"/>
      <c r="LT11" s="21"/>
      <c r="LU11" s="21"/>
      <c r="LV11" s="21"/>
      <c r="LW11" s="21"/>
      <c r="LX11" s="21"/>
      <c r="LY11" s="21"/>
      <c r="LZ11" s="21"/>
      <c r="MA11" s="21"/>
      <c r="MB11" s="21"/>
      <c r="MC11" s="21"/>
      <c r="MD11" s="21"/>
      <c r="ME11" s="21"/>
      <c r="MF11" s="21"/>
      <c r="MG11" s="21"/>
      <c r="MH11" s="21"/>
      <c r="MI11" s="21"/>
      <c r="MJ11" s="21"/>
      <c r="MK11" s="21"/>
      <c r="ML11" s="21"/>
      <c r="MM11" s="21"/>
      <c r="MN11" s="21"/>
      <c r="MO11" s="21"/>
      <c r="MP11" s="21"/>
      <c r="MQ11" s="21"/>
      <c r="MR11" s="21"/>
      <c r="MS11" s="21"/>
      <c r="MT11" s="21"/>
      <c r="MU11" s="21"/>
      <c r="MV11" s="21"/>
      <c r="MW11" s="21"/>
      <c r="MX11" s="21"/>
      <c r="MY11" s="21"/>
      <c r="MZ11" s="21"/>
      <c r="NA11" s="21"/>
      <c r="NB11" s="21"/>
      <c r="NC11" s="21"/>
      <c r="ND11" s="21"/>
      <c r="NE11" s="21"/>
      <c r="NF11" s="21"/>
      <c r="NG11" s="21"/>
      <c r="NH11" s="21"/>
      <c r="NI11" s="21"/>
      <c r="NJ11" s="21"/>
      <c r="NK11" s="21"/>
      <c r="NL11" s="21"/>
      <c r="NM11" s="21"/>
      <c r="NN11" s="21"/>
      <c r="NO11" s="21"/>
      <c r="NP11" s="21"/>
      <c r="NQ11" s="21"/>
      <c r="NR11" s="21"/>
      <c r="NS11" s="21"/>
      <c r="NT11" s="21"/>
      <c r="NU11" s="21"/>
      <c r="NV11" s="21"/>
      <c r="NW11" s="21"/>
      <c r="NX11" s="21"/>
      <c r="NY11" s="21"/>
      <c r="NZ11" s="21"/>
      <c r="OA11" s="21"/>
      <c r="OB11" s="21"/>
      <c r="OC11" s="21"/>
      <c r="OD11" s="21"/>
      <c r="OE11" s="21"/>
      <c r="OF11" s="21"/>
      <c r="OG11" s="21"/>
      <c r="OH11" s="21"/>
      <c r="OI11" s="21"/>
      <c r="OJ11" s="21"/>
      <c r="OK11" s="21"/>
      <c r="OL11" s="21"/>
      <c r="OM11" s="21"/>
      <c r="ON11" s="21"/>
      <c r="OO11" s="21"/>
      <c r="OP11" s="21"/>
      <c r="OQ11" s="21"/>
      <c r="OR11" s="21"/>
      <c r="OS11" s="21"/>
      <c r="OT11" s="21"/>
      <c r="OU11" s="21"/>
      <c r="OV11" s="21"/>
      <c r="OW11" s="21"/>
      <c r="OX11" s="21"/>
      <c r="OY11" s="21"/>
      <c r="OZ11" s="21"/>
      <c r="PA11" s="21"/>
      <c r="PB11" s="21"/>
      <c r="PC11" s="21"/>
      <c r="PD11" s="21"/>
      <c r="PE11" s="21"/>
      <c r="PF11" s="21"/>
      <c r="PG11" s="21"/>
      <c r="PH11" s="21"/>
      <c r="PI11" s="21"/>
      <c r="PJ11" s="21"/>
      <c r="PK11" s="21"/>
      <c r="PL11" s="21"/>
      <c r="PM11" s="21"/>
      <c r="PN11" s="21"/>
      <c r="PO11" s="21"/>
      <c r="PP11" s="21"/>
      <c r="PQ11" s="21"/>
      <c r="PR11" s="21"/>
      <c r="PS11" s="21"/>
      <c r="PT11" s="21"/>
      <c r="PU11" s="21"/>
      <c r="PV11" s="21"/>
      <c r="PW11" s="21"/>
      <c r="PX11" s="21"/>
      <c r="PY11" s="21"/>
      <c r="PZ11" s="21"/>
      <c r="QA11" s="21"/>
      <c r="QB11" s="21"/>
      <c r="QC11" s="21"/>
      <c r="QD11" s="21"/>
      <c r="QE11" s="21"/>
      <c r="QF11" s="21"/>
      <c r="QG11" s="21"/>
      <c r="QH11" s="21"/>
      <c r="QI11" s="21"/>
      <c r="QJ11" s="21"/>
      <c r="QK11" s="21"/>
      <c r="QL11" s="21"/>
      <c r="QM11" s="21"/>
      <c r="QN11" s="21"/>
      <c r="QO11" s="21"/>
      <c r="QP11" s="21"/>
      <c r="QQ11" s="21"/>
      <c r="QR11" s="21"/>
      <c r="QS11" s="21"/>
      <c r="QT11" s="21"/>
      <c r="QU11" s="21"/>
      <c r="QV11" s="21"/>
      <c r="QW11" s="21"/>
      <c r="QX11" s="21"/>
      <c r="QY11" s="21"/>
      <c r="QZ11" s="21"/>
      <c r="RA11" s="21"/>
      <c r="RB11" s="21"/>
      <c r="RC11" s="21"/>
      <c r="RD11" s="21"/>
      <c r="RE11" s="21"/>
      <c r="RF11" s="21"/>
      <c r="RG11" s="21"/>
      <c r="RH11" s="21"/>
      <c r="RI11" s="21"/>
      <c r="RJ11" s="21"/>
      <c r="RK11" s="21"/>
      <c r="RL11" s="21"/>
      <c r="RM11" s="21"/>
      <c r="RN11" s="21"/>
      <c r="RO11" s="21"/>
      <c r="RP11" s="21"/>
      <c r="RQ11" s="21"/>
      <c r="RR11" s="21"/>
      <c r="RS11" s="21"/>
      <c r="RT11" s="21"/>
      <c r="RU11" s="21"/>
      <c r="RV11" s="21"/>
      <c r="RW11" s="21"/>
      <c r="RX11" s="21"/>
      <c r="RY11" s="21"/>
      <c r="RZ11" s="21"/>
      <c r="SA11" s="21"/>
      <c r="SB11" s="21"/>
      <c r="SC11" s="21"/>
      <c r="SD11" s="21"/>
      <c r="SE11" s="21"/>
      <c r="SF11" s="21"/>
      <c r="SG11" s="21"/>
      <c r="SH11" s="21"/>
      <c r="SI11" s="21"/>
      <c r="SJ11" s="21"/>
      <c r="SK11" s="21"/>
      <c r="SL11" s="21"/>
      <c r="SM11" s="21"/>
      <c r="SN11" s="21"/>
      <c r="SO11" s="21"/>
      <c r="SP11" s="21"/>
      <c r="SQ11" s="21"/>
      <c r="SR11" s="21"/>
      <c r="SS11" s="21"/>
      <c r="ST11" s="21"/>
      <c r="SU11" s="21"/>
      <c r="SV11" s="21"/>
      <c r="SW11" s="21"/>
      <c r="SX11" s="21"/>
      <c r="SY11" s="21"/>
      <c r="SZ11" s="21"/>
      <c r="TA11" s="21"/>
      <c r="TB11" s="21"/>
      <c r="TC11" s="21"/>
      <c r="TD11" s="21"/>
      <c r="TE11" s="21"/>
      <c r="TF11" s="21"/>
      <c r="TG11" s="21"/>
      <c r="TH11" s="21"/>
      <c r="TI11" s="21"/>
      <c r="TJ11" s="21"/>
      <c r="TK11" s="21"/>
      <c r="TL11" s="21"/>
      <c r="TM11" s="21"/>
      <c r="TN11" s="21"/>
      <c r="TO11" s="21"/>
      <c r="TP11" s="21"/>
      <c r="TQ11" s="21"/>
      <c r="TR11" s="21"/>
      <c r="TS11" s="21"/>
      <c r="TT11" s="21"/>
      <c r="TU11" s="21"/>
      <c r="TV11" s="21"/>
      <c r="TW11" s="21"/>
      <c r="TX11" s="21"/>
      <c r="TY11" s="21"/>
      <c r="TZ11" s="21"/>
      <c r="UA11" s="21"/>
      <c r="UB11" s="21"/>
      <c r="UC11" s="21"/>
      <c r="UD11" s="21"/>
      <c r="UE11" s="21"/>
      <c r="UF11" s="21"/>
      <c r="UG11" s="21"/>
      <c r="UH11" s="21"/>
      <c r="UI11" s="21"/>
      <c r="UJ11" s="21"/>
      <c r="UK11" s="21"/>
      <c r="UL11" s="21"/>
      <c r="UM11" s="21"/>
      <c r="UN11" s="21"/>
      <c r="UO11" s="21"/>
      <c r="UP11" s="21"/>
      <c r="UQ11" s="21"/>
      <c r="UR11" s="21"/>
      <c r="US11" s="21"/>
      <c r="UT11" s="21"/>
      <c r="UU11" s="21"/>
      <c r="UV11" s="21"/>
      <c r="UW11" s="21"/>
      <c r="UX11" s="21"/>
      <c r="UY11" s="21"/>
      <c r="UZ11" s="21"/>
      <c r="VA11" s="21"/>
      <c r="VB11" s="21"/>
      <c r="VC11" s="21"/>
      <c r="VD11" s="21"/>
      <c r="VE11" s="21"/>
      <c r="VF11" s="21"/>
      <c r="VG11" s="21"/>
      <c r="VH11" s="21"/>
      <c r="VI11" s="21"/>
      <c r="VJ11" s="21"/>
      <c r="VK11" s="21"/>
      <c r="VL11" s="21"/>
      <c r="VM11" s="21"/>
      <c r="VN11" s="21"/>
      <c r="VO11" s="21"/>
      <c r="VP11" s="21"/>
      <c r="VQ11" s="21"/>
      <c r="VR11" s="21"/>
      <c r="VS11" s="21"/>
      <c r="VT11" s="21"/>
      <c r="VU11" s="21"/>
      <c r="VV11" s="21"/>
      <c r="VW11" s="21"/>
      <c r="VX11" s="21"/>
      <c r="VY11" s="21"/>
      <c r="VZ11" s="21"/>
      <c r="WA11" s="21"/>
      <c r="WB11" s="21"/>
      <c r="WC11" s="21"/>
      <c r="WD11" s="21"/>
      <c r="WE11" s="21"/>
      <c r="WF11" s="21"/>
      <c r="WG11" s="21"/>
      <c r="WH11" s="21"/>
      <c r="WI11" s="21"/>
      <c r="WJ11" s="21"/>
      <c r="WK11" s="21"/>
      <c r="WL11" s="21"/>
      <c r="WM11" s="21"/>
      <c r="WN11" s="21"/>
      <c r="WO11" s="21"/>
      <c r="WP11" s="21"/>
      <c r="WQ11" s="21"/>
      <c r="WR11" s="21"/>
      <c r="WS11" s="21"/>
      <c r="WT11" s="21"/>
      <c r="WU11" s="21"/>
      <c r="WV11" s="21"/>
      <c r="WW11" s="21"/>
      <c r="WX11" s="21"/>
      <c r="WY11" s="21"/>
      <c r="WZ11" s="21"/>
      <c r="XA11" s="21"/>
      <c r="XB11" s="21"/>
      <c r="XC11" s="21"/>
      <c r="XD11" s="21"/>
      <c r="XE11" s="21"/>
      <c r="XF11" s="21"/>
      <c r="XG11" s="21"/>
      <c r="XH11" s="21"/>
      <c r="XI11" s="21"/>
      <c r="XJ11" s="21"/>
      <c r="XK11" s="21"/>
      <c r="XL11" s="21"/>
      <c r="XM11" s="21"/>
      <c r="XN11" s="21"/>
      <c r="XO11" s="21"/>
      <c r="XP11" s="21"/>
      <c r="XQ11" s="21"/>
      <c r="XR11" s="21"/>
      <c r="XS11" s="21"/>
      <c r="XT11" s="21"/>
      <c r="XU11" s="21"/>
      <c r="XV11" s="21"/>
      <c r="XW11" s="21"/>
      <c r="XX11" s="21"/>
      <c r="XY11" s="21"/>
      <c r="XZ11" s="21"/>
      <c r="YA11" s="21"/>
      <c r="YB11" s="21"/>
      <c r="YC11" s="21"/>
      <c r="YD11" s="21"/>
      <c r="YE11" s="21"/>
      <c r="YF11" s="21"/>
      <c r="YG11" s="21"/>
      <c r="YH11" s="21"/>
      <c r="YI11" s="21"/>
      <c r="YJ11" s="21"/>
      <c r="YK11" s="21"/>
      <c r="YL11" s="21"/>
      <c r="YM11" s="21"/>
      <c r="YN11" s="21"/>
      <c r="YO11" s="21"/>
      <c r="YP11" s="21"/>
      <c r="YQ11" s="21"/>
      <c r="YR11" s="21"/>
      <c r="YS11" s="21"/>
      <c r="YT11" s="21"/>
      <c r="YU11" s="21"/>
      <c r="YV11" s="21"/>
      <c r="YW11" s="21"/>
      <c r="YX11" s="21"/>
      <c r="YY11" s="21"/>
      <c r="YZ11" s="21"/>
      <c r="ZA11" s="21"/>
      <c r="ZB11" s="21"/>
      <c r="ZC11" s="21"/>
      <c r="ZD11" s="21"/>
      <c r="ZE11" s="21"/>
      <c r="ZF11" s="21"/>
      <c r="ZG11" s="21"/>
      <c r="ZH11" s="21"/>
      <c r="ZI11" s="21"/>
      <c r="ZJ11" s="21"/>
      <c r="ZK11" s="21"/>
      <c r="ZL11" s="21"/>
      <c r="ZM11" s="21"/>
      <c r="ZN11" s="21"/>
      <c r="ZO11" s="21"/>
      <c r="ZP11" s="21"/>
      <c r="ZQ11" s="21"/>
      <c r="ZR11" s="21"/>
      <c r="ZS11" s="21"/>
      <c r="ZT11" s="21"/>
      <c r="ZU11" s="21"/>
      <c r="ZV11" s="21"/>
      <c r="ZW11" s="21"/>
      <c r="ZX11" s="21"/>
      <c r="ZY11" s="21"/>
      <c r="ZZ11" s="21"/>
      <c r="AAA11" s="21"/>
      <c r="AAB11" s="21"/>
      <c r="AAC11" s="21"/>
      <c r="AAD11" s="21"/>
      <c r="AAE11" s="21"/>
      <c r="AAF11" s="21"/>
    </row>
    <row r="12" spans="1:708" s="33" customFormat="1" ht="45" customHeight="1" x14ac:dyDescent="0.25">
      <c r="A12" s="504"/>
      <c r="B12" s="506"/>
      <c r="C12" s="515"/>
      <c r="D12" s="515"/>
      <c r="E12" s="515"/>
      <c r="F12" s="515"/>
      <c r="G12" s="515"/>
      <c r="H12" s="515"/>
      <c r="I12" s="515"/>
      <c r="J12" s="515"/>
      <c r="K12" s="515"/>
      <c r="L12" s="515"/>
      <c r="M12" s="515"/>
      <c r="N12" s="515"/>
      <c r="O12" s="515"/>
      <c r="P12" s="515"/>
      <c r="Q12" s="23" t="s">
        <v>94</v>
      </c>
      <c r="R12" s="23" t="s">
        <v>95</v>
      </c>
      <c r="S12" s="24" t="s">
        <v>74</v>
      </c>
      <c r="T12" s="23"/>
      <c r="U12" s="46">
        <v>0.75</v>
      </c>
      <c r="V12" s="47">
        <v>2932575877</v>
      </c>
      <c r="W12" s="511"/>
      <c r="X12" s="48" t="s">
        <v>59</v>
      </c>
      <c r="Y12" s="519"/>
      <c r="Z12" s="538"/>
      <c r="AA12" s="541"/>
      <c r="AB12" s="544"/>
      <c r="AC12" s="49">
        <f>(0/8)</f>
        <v>0</v>
      </c>
      <c r="AD12" s="50">
        <f>+U12</f>
        <v>0.75</v>
      </c>
      <c r="AE12" s="51">
        <f>+AC12/AD12</f>
        <v>0</v>
      </c>
      <c r="AF12" s="24" t="s">
        <v>96</v>
      </c>
      <c r="AG12" s="547"/>
      <c r="AH12" s="550"/>
      <c r="AI12" s="553"/>
      <c r="AJ12" s="556"/>
      <c r="AK12" s="52">
        <v>0.76190476190476186</v>
      </c>
      <c r="AL12" s="53">
        <v>0.75</v>
      </c>
      <c r="AM12" s="52">
        <v>1.0158730158730158</v>
      </c>
      <c r="AN12" s="54" t="s">
        <v>97</v>
      </c>
      <c r="AO12" s="547"/>
      <c r="AP12" s="550"/>
      <c r="AQ12" s="553"/>
      <c r="AR12" s="556"/>
      <c r="AS12" s="52">
        <f>(27/48)</f>
        <v>0.5625</v>
      </c>
      <c r="AT12" s="53">
        <f>+U12</f>
        <v>0.75</v>
      </c>
      <c r="AU12" s="52">
        <f>+AS12/AT12</f>
        <v>0.75</v>
      </c>
      <c r="AV12" s="54" t="s">
        <v>98</v>
      </c>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c r="IA12" s="21"/>
      <c r="IB12" s="21"/>
      <c r="IC12" s="21"/>
      <c r="ID12" s="21"/>
      <c r="IE12" s="21"/>
      <c r="IF12" s="21"/>
      <c r="IG12" s="21"/>
      <c r="IH12" s="21"/>
      <c r="II12" s="21"/>
      <c r="IJ12" s="21"/>
      <c r="IK12" s="21"/>
      <c r="IL12" s="21"/>
      <c r="IM12" s="21"/>
      <c r="IN12" s="21"/>
      <c r="IO12" s="21"/>
      <c r="IP12" s="21"/>
      <c r="IQ12" s="21"/>
      <c r="IR12" s="21"/>
      <c r="IS12" s="21"/>
      <c r="IT12" s="21"/>
      <c r="IU12" s="21"/>
      <c r="IV12" s="21"/>
      <c r="IW12" s="21"/>
      <c r="IX12" s="21"/>
      <c r="IY12" s="21"/>
      <c r="IZ12" s="21"/>
      <c r="JA12" s="21"/>
      <c r="JB12" s="21"/>
      <c r="JC12" s="21"/>
      <c r="JD12" s="21"/>
      <c r="JE12" s="21"/>
      <c r="JF12" s="21"/>
      <c r="JG12" s="21"/>
      <c r="JH12" s="21"/>
      <c r="JI12" s="21"/>
      <c r="JJ12" s="21"/>
      <c r="JK12" s="21"/>
      <c r="JL12" s="21"/>
      <c r="JM12" s="21"/>
      <c r="JN12" s="21"/>
      <c r="JO12" s="21"/>
      <c r="JP12" s="21"/>
      <c r="JQ12" s="21"/>
      <c r="JR12" s="21"/>
      <c r="JS12" s="21"/>
      <c r="JT12" s="21"/>
      <c r="JU12" s="21"/>
      <c r="JV12" s="21"/>
      <c r="JW12" s="21"/>
      <c r="JX12" s="21"/>
      <c r="JY12" s="21"/>
      <c r="JZ12" s="21"/>
      <c r="KA12" s="21"/>
      <c r="KB12" s="21"/>
      <c r="KC12" s="21"/>
      <c r="KD12" s="21"/>
      <c r="KE12" s="21"/>
      <c r="KF12" s="21"/>
      <c r="KG12" s="21"/>
      <c r="KH12" s="21"/>
      <c r="KI12" s="21"/>
      <c r="KJ12" s="21"/>
      <c r="KK12" s="21"/>
      <c r="KL12" s="21"/>
      <c r="KM12" s="21"/>
      <c r="KN12" s="21"/>
      <c r="KO12" s="21"/>
      <c r="KP12" s="21"/>
      <c r="KQ12" s="21"/>
      <c r="KR12" s="21"/>
      <c r="KS12" s="21"/>
      <c r="KT12" s="21"/>
      <c r="KU12" s="21"/>
      <c r="KV12" s="21"/>
      <c r="KW12" s="21"/>
      <c r="KX12" s="21"/>
      <c r="KY12" s="21"/>
      <c r="KZ12" s="21"/>
      <c r="LA12" s="21"/>
      <c r="LB12" s="21"/>
      <c r="LC12" s="21"/>
      <c r="LD12" s="21"/>
      <c r="LE12" s="21"/>
      <c r="LF12" s="21"/>
      <c r="LG12" s="21"/>
      <c r="LH12" s="21"/>
      <c r="LI12" s="21"/>
      <c r="LJ12" s="21"/>
      <c r="LK12" s="21"/>
      <c r="LL12" s="21"/>
      <c r="LM12" s="21"/>
      <c r="LN12" s="21"/>
      <c r="LO12" s="21"/>
      <c r="LP12" s="21"/>
      <c r="LQ12" s="21"/>
      <c r="LR12" s="21"/>
      <c r="LS12" s="21"/>
      <c r="LT12" s="21"/>
      <c r="LU12" s="21"/>
      <c r="LV12" s="21"/>
      <c r="LW12" s="21"/>
      <c r="LX12" s="21"/>
      <c r="LY12" s="21"/>
      <c r="LZ12" s="21"/>
      <c r="MA12" s="21"/>
      <c r="MB12" s="21"/>
      <c r="MC12" s="21"/>
      <c r="MD12" s="21"/>
      <c r="ME12" s="21"/>
      <c r="MF12" s="21"/>
      <c r="MG12" s="21"/>
      <c r="MH12" s="21"/>
      <c r="MI12" s="21"/>
      <c r="MJ12" s="21"/>
      <c r="MK12" s="21"/>
      <c r="ML12" s="21"/>
      <c r="MM12" s="21"/>
      <c r="MN12" s="21"/>
      <c r="MO12" s="21"/>
      <c r="MP12" s="21"/>
      <c r="MQ12" s="21"/>
      <c r="MR12" s="21"/>
      <c r="MS12" s="21"/>
      <c r="MT12" s="21"/>
      <c r="MU12" s="21"/>
      <c r="MV12" s="21"/>
      <c r="MW12" s="21"/>
      <c r="MX12" s="21"/>
      <c r="MY12" s="21"/>
      <c r="MZ12" s="21"/>
      <c r="NA12" s="21"/>
      <c r="NB12" s="21"/>
      <c r="NC12" s="21"/>
      <c r="ND12" s="21"/>
      <c r="NE12" s="21"/>
      <c r="NF12" s="21"/>
      <c r="NG12" s="21"/>
      <c r="NH12" s="21"/>
      <c r="NI12" s="21"/>
      <c r="NJ12" s="21"/>
      <c r="NK12" s="21"/>
      <c r="NL12" s="21"/>
      <c r="NM12" s="21"/>
      <c r="NN12" s="21"/>
      <c r="NO12" s="21"/>
      <c r="NP12" s="21"/>
      <c r="NQ12" s="21"/>
      <c r="NR12" s="21"/>
      <c r="NS12" s="21"/>
      <c r="NT12" s="21"/>
      <c r="NU12" s="21"/>
      <c r="NV12" s="21"/>
      <c r="NW12" s="21"/>
      <c r="NX12" s="21"/>
      <c r="NY12" s="21"/>
      <c r="NZ12" s="21"/>
      <c r="OA12" s="21"/>
      <c r="OB12" s="21"/>
      <c r="OC12" s="21"/>
      <c r="OD12" s="21"/>
      <c r="OE12" s="21"/>
      <c r="OF12" s="21"/>
      <c r="OG12" s="21"/>
      <c r="OH12" s="21"/>
      <c r="OI12" s="21"/>
      <c r="OJ12" s="21"/>
      <c r="OK12" s="21"/>
      <c r="OL12" s="21"/>
      <c r="OM12" s="21"/>
      <c r="ON12" s="21"/>
      <c r="OO12" s="21"/>
      <c r="OP12" s="21"/>
      <c r="OQ12" s="21"/>
      <c r="OR12" s="21"/>
      <c r="OS12" s="21"/>
      <c r="OT12" s="21"/>
      <c r="OU12" s="21"/>
      <c r="OV12" s="21"/>
      <c r="OW12" s="21"/>
      <c r="OX12" s="21"/>
      <c r="OY12" s="21"/>
      <c r="OZ12" s="21"/>
      <c r="PA12" s="21"/>
      <c r="PB12" s="21"/>
      <c r="PC12" s="21"/>
      <c r="PD12" s="21"/>
      <c r="PE12" s="21"/>
      <c r="PF12" s="21"/>
      <c r="PG12" s="21"/>
      <c r="PH12" s="21"/>
      <c r="PI12" s="21"/>
      <c r="PJ12" s="21"/>
      <c r="PK12" s="21"/>
      <c r="PL12" s="21"/>
      <c r="PM12" s="21"/>
      <c r="PN12" s="21"/>
      <c r="PO12" s="21"/>
      <c r="PP12" s="21"/>
      <c r="PQ12" s="21"/>
      <c r="PR12" s="21"/>
      <c r="PS12" s="21"/>
      <c r="PT12" s="21"/>
      <c r="PU12" s="21"/>
      <c r="PV12" s="21"/>
      <c r="PW12" s="21"/>
      <c r="PX12" s="21"/>
      <c r="PY12" s="21"/>
      <c r="PZ12" s="21"/>
      <c r="QA12" s="21"/>
      <c r="QB12" s="21"/>
      <c r="QC12" s="21"/>
      <c r="QD12" s="21"/>
      <c r="QE12" s="21"/>
      <c r="QF12" s="21"/>
      <c r="QG12" s="21"/>
      <c r="QH12" s="21"/>
      <c r="QI12" s="21"/>
      <c r="QJ12" s="21"/>
      <c r="QK12" s="21"/>
      <c r="QL12" s="21"/>
      <c r="QM12" s="21"/>
      <c r="QN12" s="21"/>
      <c r="QO12" s="21"/>
      <c r="QP12" s="21"/>
      <c r="QQ12" s="21"/>
      <c r="QR12" s="21"/>
      <c r="QS12" s="21"/>
      <c r="QT12" s="21"/>
      <c r="QU12" s="21"/>
      <c r="QV12" s="21"/>
      <c r="QW12" s="21"/>
      <c r="QX12" s="21"/>
      <c r="QY12" s="21"/>
      <c r="QZ12" s="21"/>
      <c r="RA12" s="21"/>
      <c r="RB12" s="21"/>
      <c r="RC12" s="21"/>
      <c r="RD12" s="21"/>
      <c r="RE12" s="21"/>
      <c r="RF12" s="21"/>
      <c r="RG12" s="21"/>
      <c r="RH12" s="21"/>
      <c r="RI12" s="21"/>
      <c r="RJ12" s="21"/>
      <c r="RK12" s="21"/>
      <c r="RL12" s="21"/>
      <c r="RM12" s="21"/>
      <c r="RN12" s="21"/>
      <c r="RO12" s="21"/>
      <c r="RP12" s="21"/>
      <c r="RQ12" s="21"/>
      <c r="RR12" s="21"/>
      <c r="RS12" s="21"/>
      <c r="RT12" s="21"/>
      <c r="RU12" s="21"/>
      <c r="RV12" s="21"/>
      <c r="RW12" s="21"/>
      <c r="RX12" s="21"/>
      <c r="RY12" s="21"/>
      <c r="RZ12" s="21"/>
      <c r="SA12" s="21"/>
      <c r="SB12" s="21"/>
      <c r="SC12" s="21"/>
      <c r="SD12" s="21"/>
      <c r="SE12" s="21"/>
      <c r="SF12" s="21"/>
      <c r="SG12" s="21"/>
      <c r="SH12" s="21"/>
      <c r="SI12" s="21"/>
      <c r="SJ12" s="21"/>
      <c r="SK12" s="21"/>
      <c r="SL12" s="21"/>
      <c r="SM12" s="21"/>
      <c r="SN12" s="21"/>
      <c r="SO12" s="21"/>
      <c r="SP12" s="21"/>
      <c r="SQ12" s="21"/>
      <c r="SR12" s="21"/>
      <c r="SS12" s="21"/>
      <c r="ST12" s="21"/>
      <c r="SU12" s="21"/>
      <c r="SV12" s="21"/>
      <c r="SW12" s="21"/>
      <c r="SX12" s="21"/>
      <c r="SY12" s="21"/>
      <c r="SZ12" s="21"/>
      <c r="TA12" s="21"/>
      <c r="TB12" s="21"/>
      <c r="TC12" s="21"/>
      <c r="TD12" s="21"/>
      <c r="TE12" s="21"/>
      <c r="TF12" s="21"/>
      <c r="TG12" s="21"/>
      <c r="TH12" s="21"/>
      <c r="TI12" s="21"/>
      <c r="TJ12" s="21"/>
      <c r="TK12" s="21"/>
      <c r="TL12" s="21"/>
      <c r="TM12" s="21"/>
      <c r="TN12" s="21"/>
      <c r="TO12" s="21"/>
      <c r="TP12" s="21"/>
      <c r="TQ12" s="21"/>
      <c r="TR12" s="21"/>
      <c r="TS12" s="21"/>
      <c r="TT12" s="21"/>
      <c r="TU12" s="21"/>
      <c r="TV12" s="21"/>
      <c r="TW12" s="21"/>
      <c r="TX12" s="21"/>
      <c r="TY12" s="21"/>
      <c r="TZ12" s="21"/>
      <c r="UA12" s="21"/>
      <c r="UB12" s="21"/>
      <c r="UC12" s="21"/>
      <c r="UD12" s="21"/>
      <c r="UE12" s="21"/>
      <c r="UF12" s="21"/>
      <c r="UG12" s="21"/>
      <c r="UH12" s="21"/>
      <c r="UI12" s="21"/>
      <c r="UJ12" s="21"/>
      <c r="UK12" s="21"/>
      <c r="UL12" s="21"/>
      <c r="UM12" s="21"/>
      <c r="UN12" s="21"/>
      <c r="UO12" s="21"/>
      <c r="UP12" s="21"/>
      <c r="UQ12" s="21"/>
      <c r="UR12" s="21"/>
      <c r="US12" s="21"/>
      <c r="UT12" s="21"/>
      <c r="UU12" s="21"/>
      <c r="UV12" s="21"/>
      <c r="UW12" s="21"/>
      <c r="UX12" s="21"/>
      <c r="UY12" s="21"/>
      <c r="UZ12" s="21"/>
      <c r="VA12" s="21"/>
      <c r="VB12" s="21"/>
      <c r="VC12" s="21"/>
      <c r="VD12" s="21"/>
      <c r="VE12" s="21"/>
      <c r="VF12" s="21"/>
      <c r="VG12" s="21"/>
      <c r="VH12" s="21"/>
      <c r="VI12" s="21"/>
      <c r="VJ12" s="21"/>
      <c r="VK12" s="21"/>
      <c r="VL12" s="21"/>
      <c r="VM12" s="21"/>
      <c r="VN12" s="21"/>
      <c r="VO12" s="21"/>
      <c r="VP12" s="21"/>
      <c r="VQ12" s="21"/>
      <c r="VR12" s="21"/>
      <c r="VS12" s="21"/>
      <c r="VT12" s="21"/>
      <c r="VU12" s="21"/>
      <c r="VV12" s="21"/>
      <c r="VW12" s="21"/>
      <c r="VX12" s="21"/>
      <c r="VY12" s="21"/>
      <c r="VZ12" s="21"/>
      <c r="WA12" s="21"/>
      <c r="WB12" s="21"/>
      <c r="WC12" s="21"/>
      <c r="WD12" s="21"/>
      <c r="WE12" s="21"/>
      <c r="WF12" s="21"/>
      <c r="WG12" s="21"/>
      <c r="WH12" s="21"/>
      <c r="WI12" s="21"/>
      <c r="WJ12" s="21"/>
      <c r="WK12" s="21"/>
      <c r="WL12" s="21"/>
      <c r="WM12" s="21"/>
      <c r="WN12" s="21"/>
      <c r="WO12" s="21"/>
      <c r="WP12" s="21"/>
      <c r="WQ12" s="21"/>
      <c r="WR12" s="21"/>
      <c r="WS12" s="21"/>
      <c r="WT12" s="21"/>
      <c r="WU12" s="21"/>
      <c r="WV12" s="21"/>
      <c r="WW12" s="21"/>
      <c r="WX12" s="21"/>
      <c r="WY12" s="21"/>
      <c r="WZ12" s="21"/>
      <c r="XA12" s="21"/>
      <c r="XB12" s="21"/>
      <c r="XC12" s="21"/>
      <c r="XD12" s="21"/>
      <c r="XE12" s="21"/>
      <c r="XF12" s="21"/>
      <c r="XG12" s="21"/>
      <c r="XH12" s="21"/>
      <c r="XI12" s="21"/>
      <c r="XJ12" s="21"/>
      <c r="XK12" s="21"/>
      <c r="XL12" s="21"/>
      <c r="XM12" s="21"/>
      <c r="XN12" s="21"/>
      <c r="XO12" s="21"/>
      <c r="XP12" s="21"/>
      <c r="XQ12" s="21"/>
      <c r="XR12" s="21"/>
      <c r="XS12" s="21"/>
      <c r="XT12" s="21"/>
      <c r="XU12" s="21"/>
      <c r="XV12" s="21"/>
      <c r="XW12" s="21"/>
      <c r="XX12" s="21"/>
      <c r="XY12" s="21"/>
      <c r="XZ12" s="21"/>
      <c r="YA12" s="21"/>
      <c r="YB12" s="21"/>
      <c r="YC12" s="21"/>
      <c r="YD12" s="21"/>
      <c r="YE12" s="21"/>
      <c r="YF12" s="21"/>
      <c r="YG12" s="21"/>
      <c r="YH12" s="21"/>
      <c r="YI12" s="21"/>
      <c r="YJ12" s="21"/>
      <c r="YK12" s="21"/>
      <c r="YL12" s="21"/>
      <c r="YM12" s="21"/>
      <c r="YN12" s="21"/>
      <c r="YO12" s="21"/>
      <c r="YP12" s="21"/>
      <c r="YQ12" s="21"/>
      <c r="YR12" s="21"/>
      <c r="YS12" s="21"/>
      <c r="YT12" s="21"/>
      <c r="YU12" s="21"/>
      <c r="YV12" s="21"/>
      <c r="YW12" s="21"/>
      <c r="YX12" s="21"/>
      <c r="YY12" s="21"/>
      <c r="YZ12" s="21"/>
      <c r="ZA12" s="21"/>
      <c r="ZB12" s="21"/>
      <c r="ZC12" s="21"/>
      <c r="ZD12" s="21"/>
      <c r="ZE12" s="21"/>
      <c r="ZF12" s="21"/>
      <c r="ZG12" s="21"/>
      <c r="ZH12" s="21"/>
      <c r="ZI12" s="21"/>
      <c r="ZJ12" s="21"/>
      <c r="ZK12" s="21"/>
      <c r="ZL12" s="21"/>
      <c r="ZM12" s="21"/>
      <c r="ZN12" s="21"/>
      <c r="ZO12" s="21"/>
      <c r="ZP12" s="21"/>
      <c r="ZQ12" s="21"/>
      <c r="ZR12" s="21"/>
      <c r="ZS12" s="21"/>
      <c r="ZT12" s="21"/>
      <c r="ZU12" s="21"/>
      <c r="ZV12" s="21"/>
      <c r="ZW12" s="21"/>
      <c r="ZX12" s="21"/>
      <c r="ZY12" s="21"/>
      <c r="ZZ12" s="21"/>
      <c r="AAA12" s="21"/>
      <c r="AAB12" s="21"/>
      <c r="AAC12" s="21"/>
      <c r="AAD12" s="21"/>
      <c r="AAE12" s="21"/>
      <c r="AAF12" s="21"/>
    </row>
    <row r="13" spans="1:708" s="22" customFormat="1" ht="57" customHeight="1" x14ac:dyDescent="0.25">
      <c r="A13" s="55"/>
      <c r="B13" s="55"/>
      <c r="C13" s="55"/>
      <c r="D13" s="55"/>
      <c r="E13" s="55"/>
      <c r="F13" s="55"/>
      <c r="G13" s="55"/>
      <c r="H13" s="55"/>
      <c r="I13" s="55"/>
      <c r="J13" s="55"/>
      <c r="K13" s="55"/>
      <c r="L13" s="55"/>
      <c r="M13" s="55"/>
      <c r="N13" s="55"/>
      <c r="O13" s="55"/>
      <c r="P13" s="56"/>
      <c r="Q13" s="55"/>
      <c r="R13" s="55"/>
      <c r="S13" s="56"/>
      <c r="T13" s="55"/>
      <c r="U13" s="55"/>
      <c r="V13" s="57"/>
      <c r="W13" s="57"/>
      <c r="X13" s="55"/>
      <c r="Y13" s="388" t="s">
        <v>99</v>
      </c>
      <c r="Z13" s="388"/>
      <c r="AA13" s="58">
        <f>AVERAGE(AA7:AA12)</f>
        <v>0.40956890201556745</v>
      </c>
      <c r="AB13" s="59"/>
      <c r="AC13" s="557" t="s">
        <v>100</v>
      </c>
      <c r="AD13" s="557"/>
      <c r="AE13" s="60">
        <f>AVERAGE(AE7,AE8,AE10,AE11,AE12)</f>
        <v>4.2755966505473364E-2</v>
      </c>
      <c r="AF13" s="61"/>
      <c r="AG13" s="564" t="s">
        <v>99</v>
      </c>
      <c r="AH13" s="564"/>
      <c r="AI13" s="62">
        <v>0.45345957725672492</v>
      </c>
      <c r="AJ13" s="63"/>
      <c r="AK13" s="565" t="s">
        <v>100</v>
      </c>
      <c r="AL13" s="565"/>
      <c r="AM13" s="64">
        <v>0.30933869848207712</v>
      </c>
      <c r="AN13" s="65"/>
      <c r="AO13" s="388" t="s">
        <v>99</v>
      </c>
      <c r="AP13" s="388"/>
      <c r="AQ13" s="58">
        <f>AVERAGE(AQ7:AQ12)</f>
        <v>0.49508381805701079</v>
      </c>
      <c r="AR13" s="59"/>
      <c r="AS13" s="557" t="s">
        <v>100</v>
      </c>
      <c r="AT13" s="557"/>
      <c r="AU13" s="60">
        <f>AVERAGE(AU7,AU8,AU10,AU11,AU12)</f>
        <v>0.30772414439430207</v>
      </c>
      <c r="AV13" s="6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c r="GT13" s="21"/>
      <c r="GU13" s="21"/>
      <c r="GV13" s="21"/>
      <c r="GW13" s="21"/>
      <c r="GX13" s="21"/>
      <c r="GY13" s="21"/>
      <c r="GZ13" s="21"/>
      <c r="HA13" s="21"/>
      <c r="HB13" s="21"/>
      <c r="HC13" s="21"/>
      <c r="HD13" s="21"/>
      <c r="HE13" s="21"/>
      <c r="HF13" s="21"/>
      <c r="HG13" s="21"/>
      <c r="HH13" s="21"/>
      <c r="HI13" s="21"/>
      <c r="HJ13" s="21"/>
      <c r="HK13" s="21"/>
      <c r="HL13" s="21"/>
      <c r="HM13" s="21"/>
      <c r="HN13" s="21"/>
      <c r="HO13" s="21"/>
      <c r="HP13" s="21"/>
      <c r="HQ13" s="21"/>
      <c r="HR13" s="21"/>
      <c r="HS13" s="21"/>
      <c r="HT13" s="21"/>
      <c r="HU13" s="21"/>
      <c r="HV13" s="21"/>
      <c r="HW13" s="21"/>
      <c r="HX13" s="21"/>
      <c r="HY13" s="21"/>
      <c r="HZ13" s="21"/>
      <c r="IA13" s="21"/>
      <c r="IB13" s="21"/>
      <c r="IC13" s="21"/>
      <c r="ID13" s="21"/>
      <c r="IE13" s="21"/>
      <c r="IF13" s="21"/>
      <c r="IG13" s="21"/>
      <c r="IH13" s="21"/>
      <c r="II13" s="21"/>
      <c r="IJ13" s="21"/>
      <c r="IK13" s="21"/>
      <c r="IL13" s="21"/>
      <c r="IM13" s="21"/>
      <c r="IN13" s="21"/>
      <c r="IO13" s="21"/>
      <c r="IP13" s="21"/>
      <c r="IQ13" s="21"/>
      <c r="IR13" s="21"/>
      <c r="IS13" s="21"/>
      <c r="IT13" s="21"/>
      <c r="IU13" s="21"/>
      <c r="IV13" s="21"/>
      <c r="IW13" s="21"/>
      <c r="IX13" s="21"/>
      <c r="IY13" s="21"/>
      <c r="IZ13" s="21"/>
      <c r="JA13" s="21"/>
      <c r="JB13" s="21"/>
      <c r="JC13" s="21"/>
      <c r="JD13" s="21"/>
      <c r="JE13" s="21"/>
      <c r="JF13" s="21"/>
      <c r="JG13" s="21"/>
      <c r="JH13" s="21"/>
      <c r="JI13" s="21"/>
      <c r="JJ13" s="21"/>
      <c r="JK13" s="21"/>
      <c r="JL13" s="21"/>
      <c r="JM13" s="21"/>
      <c r="JN13" s="21"/>
      <c r="JO13" s="21"/>
      <c r="JP13" s="21"/>
      <c r="JQ13" s="21"/>
      <c r="JR13" s="21"/>
      <c r="JS13" s="21"/>
      <c r="JT13" s="21"/>
      <c r="JU13" s="21"/>
      <c r="JV13" s="21"/>
      <c r="JW13" s="21"/>
      <c r="JX13" s="21"/>
      <c r="JY13" s="21"/>
      <c r="JZ13" s="21"/>
      <c r="KA13" s="21"/>
      <c r="KB13" s="21"/>
      <c r="KC13" s="21"/>
      <c r="KD13" s="21"/>
      <c r="KE13" s="21"/>
      <c r="KF13" s="21"/>
      <c r="KG13" s="21"/>
      <c r="KH13" s="21"/>
      <c r="KI13" s="21"/>
      <c r="KJ13" s="21"/>
      <c r="KK13" s="21"/>
      <c r="KL13" s="21"/>
      <c r="KM13" s="21"/>
      <c r="KN13" s="21"/>
      <c r="KO13" s="21"/>
      <c r="KP13" s="21"/>
      <c r="KQ13" s="21"/>
      <c r="KR13" s="21"/>
      <c r="KS13" s="21"/>
      <c r="KT13" s="21"/>
      <c r="KU13" s="21"/>
      <c r="KV13" s="21"/>
      <c r="KW13" s="21"/>
      <c r="KX13" s="21"/>
      <c r="KY13" s="21"/>
      <c r="KZ13" s="21"/>
      <c r="LA13" s="21"/>
      <c r="LB13" s="21"/>
      <c r="LC13" s="21"/>
      <c r="LD13" s="21"/>
      <c r="LE13" s="21"/>
      <c r="LF13" s="21"/>
      <c r="LG13" s="21"/>
      <c r="LH13" s="21"/>
      <c r="LI13" s="21"/>
      <c r="LJ13" s="21"/>
      <c r="LK13" s="21"/>
      <c r="LL13" s="21"/>
      <c r="LM13" s="21"/>
      <c r="LN13" s="21"/>
      <c r="LO13" s="21"/>
      <c r="LP13" s="21"/>
      <c r="LQ13" s="21"/>
      <c r="LR13" s="21"/>
      <c r="LS13" s="21"/>
      <c r="LT13" s="21"/>
      <c r="LU13" s="21"/>
      <c r="LV13" s="21"/>
      <c r="LW13" s="21"/>
      <c r="LX13" s="21"/>
      <c r="LY13" s="21"/>
      <c r="LZ13" s="21"/>
      <c r="MA13" s="21"/>
      <c r="MB13" s="21"/>
      <c r="MC13" s="21"/>
      <c r="MD13" s="21"/>
      <c r="ME13" s="21"/>
      <c r="MF13" s="21"/>
      <c r="MG13" s="21"/>
      <c r="MH13" s="21"/>
      <c r="MI13" s="21"/>
      <c r="MJ13" s="21"/>
      <c r="MK13" s="21"/>
      <c r="ML13" s="21"/>
      <c r="MM13" s="21"/>
      <c r="MN13" s="21"/>
      <c r="MO13" s="21"/>
      <c r="MP13" s="21"/>
      <c r="MQ13" s="21"/>
      <c r="MR13" s="21"/>
      <c r="MS13" s="21"/>
      <c r="MT13" s="21"/>
      <c r="MU13" s="21"/>
      <c r="MV13" s="21"/>
      <c r="MW13" s="21"/>
      <c r="MX13" s="21"/>
      <c r="MY13" s="21"/>
      <c r="MZ13" s="21"/>
      <c r="NA13" s="21"/>
      <c r="NB13" s="21"/>
      <c r="NC13" s="21"/>
      <c r="ND13" s="21"/>
      <c r="NE13" s="21"/>
      <c r="NF13" s="21"/>
      <c r="NG13" s="21"/>
      <c r="NH13" s="21"/>
      <c r="NI13" s="21"/>
      <c r="NJ13" s="21"/>
      <c r="NK13" s="21"/>
      <c r="NL13" s="21"/>
      <c r="NM13" s="21"/>
      <c r="NN13" s="21"/>
      <c r="NO13" s="21"/>
      <c r="NP13" s="21"/>
      <c r="NQ13" s="21"/>
      <c r="NR13" s="21"/>
      <c r="NS13" s="21"/>
      <c r="NT13" s="21"/>
      <c r="NU13" s="21"/>
      <c r="NV13" s="21"/>
      <c r="NW13" s="21"/>
      <c r="NX13" s="21"/>
      <c r="NY13" s="21"/>
      <c r="NZ13" s="21"/>
      <c r="OA13" s="21"/>
      <c r="OB13" s="21"/>
      <c r="OC13" s="21"/>
      <c r="OD13" s="21"/>
      <c r="OE13" s="21"/>
      <c r="OF13" s="21"/>
      <c r="OG13" s="21"/>
      <c r="OH13" s="21"/>
      <c r="OI13" s="21"/>
      <c r="OJ13" s="21"/>
      <c r="OK13" s="21"/>
      <c r="OL13" s="21"/>
      <c r="OM13" s="21"/>
      <c r="ON13" s="21"/>
      <c r="OO13" s="21"/>
      <c r="OP13" s="21"/>
      <c r="OQ13" s="21"/>
      <c r="OR13" s="21"/>
      <c r="OS13" s="21"/>
      <c r="OT13" s="21"/>
      <c r="OU13" s="21"/>
      <c r="OV13" s="21"/>
      <c r="OW13" s="21"/>
      <c r="OX13" s="21"/>
      <c r="OY13" s="21"/>
      <c r="OZ13" s="21"/>
      <c r="PA13" s="21"/>
      <c r="PB13" s="21"/>
      <c r="PC13" s="21"/>
      <c r="PD13" s="21"/>
      <c r="PE13" s="21"/>
      <c r="PF13" s="21"/>
      <c r="PG13" s="21"/>
      <c r="PH13" s="21"/>
      <c r="PI13" s="21"/>
      <c r="PJ13" s="21"/>
      <c r="PK13" s="21"/>
      <c r="PL13" s="21"/>
      <c r="PM13" s="21"/>
      <c r="PN13" s="21"/>
      <c r="PO13" s="21"/>
      <c r="PP13" s="21"/>
      <c r="PQ13" s="21"/>
      <c r="PR13" s="21"/>
      <c r="PS13" s="21"/>
      <c r="PT13" s="21"/>
      <c r="PU13" s="21"/>
      <c r="PV13" s="21"/>
      <c r="PW13" s="21"/>
      <c r="PX13" s="21"/>
      <c r="PY13" s="21"/>
      <c r="PZ13" s="21"/>
      <c r="QA13" s="21"/>
      <c r="QB13" s="21"/>
      <c r="QC13" s="21"/>
      <c r="QD13" s="21"/>
      <c r="QE13" s="21"/>
      <c r="QF13" s="21"/>
      <c r="QG13" s="21"/>
      <c r="QH13" s="21"/>
      <c r="QI13" s="21"/>
      <c r="QJ13" s="21"/>
      <c r="QK13" s="21"/>
      <c r="QL13" s="21"/>
      <c r="QM13" s="21"/>
      <c r="QN13" s="21"/>
      <c r="QO13" s="21"/>
      <c r="QP13" s="21"/>
      <c r="QQ13" s="21"/>
      <c r="QR13" s="21"/>
      <c r="QS13" s="21"/>
      <c r="QT13" s="21"/>
      <c r="QU13" s="21"/>
      <c r="QV13" s="21"/>
      <c r="QW13" s="21"/>
      <c r="QX13" s="21"/>
      <c r="QY13" s="21"/>
      <c r="QZ13" s="21"/>
      <c r="RA13" s="21"/>
      <c r="RB13" s="21"/>
      <c r="RC13" s="21"/>
      <c r="RD13" s="21"/>
      <c r="RE13" s="21"/>
      <c r="RF13" s="21"/>
      <c r="RG13" s="21"/>
      <c r="RH13" s="21"/>
      <c r="RI13" s="21"/>
      <c r="RJ13" s="21"/>
      <c r="RK13" s="21"/>
      <c r="RL13" s="21"/>
      <c r="RM13" s="21"/>
      <c r="RN13" s="21"/>
      <c r="RO13" s="21"/>
      <c r="RP13" s="21"/>
      <c r="RQ13" s="21"/>
      <c r="RR13" s="21"/>
      <c r="RS13" s="21"/>
      <c r="RT13" s="21"/>
      <c r="RU13" s="21"/>
      <c r="RV13" s="21"/>
      <c r="RW13" s="21"/>
      <c r="RX13" s="21"/>
      <c r="RY13" s="21"/>
      <c r="RZ13" s="21"/>
      <c r="SA13" s="21"/>
      <c r="SB13" s="21"/>
      <c r="SC13" s="21"/>
      <c r="SD13" s="21"/>
      <c r="SE13" s="21"/>
      <c r="SF13" s="21"/>
      <c r="SG13" s="21"/>
      <c r="SH13" s="21"/>
      <c r="SI13" s="21"/>
      <c r="SJ13" s="21"/>
      <c r="SK13" s="21"/>
      <c r="SL13" s="21"/>
      <c r="SM13" s="21"/>
      <c r="SN13" s="21"/>
      <c r="SO13" s="21"/>
      <c r="SP13" s="21"/>
      <c r="SQ13" s="21"/>
      <c r="SR13" s="21"/>
      <c r="SS13" s="21"/>
      <c r="ST13" s="21"/>
      <c r="SU13" s="21"/>
      <c r="SV13" s="21"/>
      <c r="SW13" s="21"/>
      <c r="SX13" s="21"/>
      <c r="SY13" s="21"/>
      <c r="SZ13" s="21"/>
      <c r="TA13" s="21"/>
      <c r="TB13" s="21"/>
      <c r="TC13" s="21"/>
      <c r="TD13" s="21"/>
      <c r="TE13" s="21"/>
      <c r="TF13" s="21"/>
      <c r="TG13" s="21"/>
      <c r="TH13" s="21"/>
      <c r="TI13" s="21"/>
      <c r="TJ13" s="21"/>
      <c r="TK13" s="21"/>
      <c r="TL13" s="21"/>
      <c r="TM13" s="21"/>
      <c r="TN13" s="21"/>
      <c r="TO13" s="21"/>
      <c r="TP13" s="21"/>
      <c r="TQ13" s="21"/>
      <c r="TR13" s="21"/>
      <c r="TS13" s="21"/>
      <c r="TT13" s="21"/>
      <c r="TU13" s="21"/>
      <c r="TV13" s="21"/>
      <c r="TW13" s="21"/>
      <c r="TX13" s="21"/>
      <c r="TY13" s="21"/>
      <c r="TZ13" s="21"/>
      <c r="UA13" s="21"/>
      <c r="UB13" s="21"/>
      <c r="UC13" s="21"/>
      <c r="UD13" s="21"/>
      <c r="UE13" s="21"/>
      <c r="UF13" s="21"/>
      <c r="UG13" s="21"/>
      <c r="UH13" s="21"/>
      <c r="UI13" s="21"/>
      <c r="UJ13" s="21"/>
      <c r="UK13" s="21"/>
      <c r="UL13" s="21"/>
      <c r="UM13" s="21"/>
      <c r="UN13" s="21"/>
      <c r="UO13" s="21"/>
      <c r="UP13" s="21"/>
      <c r="UQ13" s="21"/>
      <c r="UR13" s="21"/>
      <c r="US13" s="21"/>
      <c r="UT13" s="21"/>
      <c r="UU13" s="21"/>
      <c r="UV13" s="21"/>
      <c r="UW13" s="21"/>
      <c r="UX13" s="21"/>
      <c r="UY13" s="21"/>
      <c r="UZ13" s="21"/>
      <c r="VA13" s="21"/>
      <c r="VB13" s="21"/>
      <c r="VC13" s="21"/>
      <c r="VD13" s="21"/>
      <c r="VE13" s="21"/>
      <c r="VF13" s="21"/>
      <c r="VG13" s="21"/>
      <c r="VH13" s="21"/>
      <c r="VI13" s="21"/>
      <c r="VJ13" s="21"/>
      <c r="VK13" s="21"/>
      <c r="VL13" s="21"/>
      <c r="VM13" s="21"/>
      <c r="VN13" s="21"/>
      <c r="VO13" s="21"/>
      <c r="VP13" s="21"/>
      <c r="VQ13" s="21"/>
      <c r="VR13" s="21"/>
      <c r="VS13" s="21"/>
      <c r="VT13" s="21"/>
      <c r="VU13" s="21"/>
      <c r="VV13" s="21"/>
      <c r="VW13" s="21"/>
      <c r="VX13" s="21"/>
      <c r="VY13" s="21"/>
      <c r="VZ13" s="21"/>
      <c r="WA13" s="21"/>
      <c r="WB13" s="21"/>
      <c r="WC13" s="21"/>
      <c r="WD13" s="21"/>
      <c r="WE13" s="21"/>
      <c r="WF13" s="21"/>
      <c r="WG13" s="21"/>
      <c r="WH13" s="21"/>
      <c r="WI13" s="21"/>
      <c r="WJ13" s="21"/>
      <c r="WK13" s="21"/>
      <c r="WL13" s="21"/>
      <c r="WM13" s="21"/>
      <c r="WN13" s="21"/>
      <c r="WO13" s="21"/>
      <c r="WP13" s="21"/>
      <c r="WQ13" s="21"/>
      <c r="WR13" s="21"/>
      <c r="WS13" s="21"/>
      <c r="WT13" s="21"/>
      <c r="WU13" s="21"/>
      <c r="WV13" s="21"/>
      <c r="WW13" s="21"/>
      <c r="WX13" s="21"/>
      <c r="WY13" s="21"/>
      <c r="WZ13" s="21"/>
      <c r="XA13" s="21"/>
      <c r="XB13" s="21"/>
      <c r="XC13" s="21"/>
      <c r="XD13" s="21"/>
      <c r="XE13" s="21"/>
      <c r="XF13" s="21"/>
      <c r="XG13" s="21"/>
      <c r="XH13" s="21"/>
      <c r="XI13" s="21"/>
      <c r="XJ13" s="21"/>
      <c r="XK13" s="21"/>
      <c r="XL13" s="21"/>
      <c r="XM13" s="21"/>
      <c r="XN13" s="21"/>
      <c r="XO13" s="21"/>
      <c r="XP13" s="21"/>
      <c r="XQ13" s="21"/>
      <c r="XR13" s="21"/>
      <c r="XS13" s="21"/>
      <c r="XT13" s="21"/>
      <c r="XU13" s="21"/>
      <c r="XV13" s="21"/>
      <c r="XW13" s="21"/>
      <c r="XX13" s="21"/>
      <c r="XY13" s="21"/>
      <c r="XZ13" s="21"/>
      <c r="YA13" s="21"/>
      <c r="YB13" s="21"/>
      <c r="YC13" s="21"/>
      <c r="YD13" s="21"/>
      <c r="YE13" s="21"/>
      <c r="YF13" s="21"/>
      <c r="YG13" s="21"/>
      <c r="YH13" s="21"/>
      <c r="YI13" s="21"/>
      <c r="YJ13" s="21"/>
      <c r="YK13" s="21"/>
      <c r="YL13" s="21"/>
      <c r="YM13" s="21"/>
      <c r="YN13" s="21"/>
      <c r="YO13" s="21"/>
      <c r="YP13" s="21"/>
      <c r="YQ13" s="21"/>
      <c r="YR13" s="21"/>
      <c r="YS13" s="21"/>
      <c r="YT13" s="21"/>
      <c r="YU13" s="21"/>
      <c r="YV13" s="21"/>
      <c r="YW13" s="21"/>
      <c r="YX13" s="21"/>
      <c r="YY13" s="21"/>
      <c r="YZ13" s="21"/>
      <c r="ZA13" s="21"/>
      <c r="ZB13" s="21"/>
      <c r="ZC13" s="21"/>
      <c r="ZD13" s="21"/>
      <c r="ZE13" s="21"/>
      <c r="ZF13" s="21"/>
      <c r="ZG13" s="21"/>
      <c r="ZH13" s="21"/>
      <c r="ZI13" s="21"/>
      <c r="ZJ13" s="21"/>
      <c r="ZK13" s="21"/>
      <c r="ZL13" s="21"/>
      <c r="ZM13" s="21"/>
      <c r="ZN13" s="21"/>
      <c r="ZO13" s="21"/>
      <c r="ZP13" s="21"/>
      <c r="ZQ13" s="21"/>
      <c r="ZR13" s="21"/>
      <c r="ZS13" s="21"/>
      <c r="ZT13" s="21"/>
      <c r="ZU13" s="21"/>
      <c r="ZV13" s="21"/>
      <c r="ZW13" s="21"/>
      <c r="ZX13" s="21"/>
      <c r="ZY13" s="21"/>
      <c r="ZZ13" s="21"/>
      <c r="AAA13" s="21"/>
      <c r="AAB13" s="21"/>
      <c r="AAC13" s="21"/>
      <c r="AAD13" s="21"/>
      <c r="AAE13" s="21"/>
      <c r="AAF13" s="21"/>
    </row>
    <row r="14" spans="1:708" s="72" customFormat="1" ht="54" customHeight="1" x14ac:dyDescent="0.25">
      <c r="A14" s="504" t="s">
        <v>43</v>
      </c>
      <c r="B14" s="558" t="s">
        <v>44</v>
      </c>
      <c r="C14" s="507" t="s">
        <v>45</v>
      </c>
      <c r="D14" s="507" t="s">
        <v>46</v>
      </c>
      <c r="E14" s="507" t="s">
        <v>47</v>
      </c>
      <c r="F14" s="507" t="s">
        <v>48</v>
      </c>
      <c r="G14" s="507" t="s">
        <v>49</v>
      </c>
      <c r="H14" s="507" t="s">
        <v>50</v>
      </c>
      <c r="I14" s="560" t="s">
        <v>51</v>
      </c>
      <c r="J14" s="391" t="s">
        <v>52</v>
      </c>
      <c r="K14" s="391" t="s">
        <v>101</v>
      </c>
      <c r="L14" s="391" t="s">
        <v>54</v>
      </c>
      <c r="M14" s="391" t="s">
        <v>55</v>
      </c>
      <c r="N14" s="391" t="s">
        <v>56</v>
      </c>
      <c r="O14" s="391"/>
      <c r="P14" s="391">
        <v>80</v>
      </c>
      <c r="Q14" s="66" t="s">
        <v>57</v>
      </c>
      <c r="R14" s="66" t="s">
        <v>58</v>
      </c>
      <c r="S14" s="67" t="s">
        <v>56</v>
      </c>
      <c r="T14" s="67">
        <v>34</v>
      </c>
      <c r="U14" s="67">
        <v>45</v>
      </c>
      <c r="V14" s="569">
        <v>615412908</v>
      </c>
      <c r="W14" s="570">
        <v>64326892613</v>
      </c>
      <c r="X14" s="26" t="s">
        <v>102</v>
      </c>
      <c r="Y14" s="391">
        <v>3</v>
      </c>
      <c r="Z14" s="391">
        <f>+P14</f>
        <v>80</v>
      </c>
      <c r="AA14" s="392">
        <f>Y14/Z14</f>
        <v>3.7499999999999999E-2</v>
      </c>
      <c r="AB14" s="391" t="s">
        <v>103</v>
      </c>
      <c r="AC14" s="67">
        <v>3</v>
      </c>
      <c r="AD14" s="67">
        <f t="shared" ref="AD14:AD20" si="0">+U14</f>
        <v>45</v>
      </c>
      <c r="AE14" s="68">
        <f>AC14/AD14</f>
        <v>6.6666666666666666E-2</v>
      </c>
      <c r="AF14" s="67" t="s">
        <v>104</v>
      </c>
      <c r="AG14" s="562">
        <v>8</v>
      </c>
      <c r="AH14" s="562">
        <v>80</v>
      </c>
      <c r="AI14" s="563">
        <v>0.1</v>
      </c>
      <c r="AJ14" s="562" t="s">
        <v>105</v>
      </c>
      <c r="AK14" s="69">
        <v>3</v>
      </c>
      <c r="AL14" s="69">
        <v>45</v>
      </c>
      <c r="AM14" s="70">
        <v>6.6666666666666666E-2</v>
      </c>
      <c r="AN14" s="69" t="s">
        <v>106</v>
      </c>
      <c r="AO14" s="562">
        <v>11</v>
      </c>
      <c r="AP14" s="562">
        <f>+P14</f>
        <v>80</v>
      </c>
      <c r="AQ14" s="563">
        <f>AO14/AP14</f>
        <v>0.13750000000000001</v>
      </c>
      <c r="AR14" s="562" t="s">
        <v>107</v>
      </c>
      <c r="AS14" s="69">
        <v>3</v>
      </c>
      <c r="AT14" s="69">
        <f t="shared" ref="AT14:AT20" si="1">+U14</f>
        <v>45</v>
      </c>
      <c r="AU14" s="70">
        <f>AS14/AT14</f>
        <v>6.6666666666666666E-2</v>
      </c>
      <c r="AV14" s="69" t="s">
        <v>108</v>
      </c>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c r="DA14" s="71"/>
      <c r="DB14" s="71"/>
      <c r="DC14" s="71"/>
      <c r="DD14" s="71"/>
      <c r="DE14" s="71"/>
      <c r="DF14" s="71"/>
      <c r="DG14" s="71"/>
      <c r="DH14" s="71"/>
      <c r="DI14" s="71"/>
      <c r="DJ14" s="71"/>
      <c r="DK14" s="71"/>
      <c r="DL14" s="71"/>
      <c r="DM14" s="71"/>
      <c r="DN14" s="71"/>
      <c r="DO14" s="71"/>
      <c r="DP14" s="71"/>
      <c r="DQ14" s="71"/>
      <c r="DR14" s="71"/>
      <c r="DS14" s="71"/>
      <c r="DT14" s="71"/>
      <c r="DU14" s="71"/>
      <c r="DV14" s="71"/>
      <c r="DW14" s="71"/>
      <c r="DX14" s="71"/>
      <c r="DY14" s="71"/>
      <c r="DZ14" s="71"/>
      <c r="EA14" s="71"/>
      <c r="EB14" s="71"/>
      <c r="EC14" s="71"/>
      <c r="ED14" s="71"/>
      <c r="EE14" s="71"/>
      <c r="EF14" s="71"/>
      <c r="EG14" s="71"/>
      <c r="EH14" s="71"/>
      <c r="EI14" s="71"/>
      <c r="EJ14" s="71"/>
      <c r="EK14" s="71"/>
      <c r="EL14" s="71"/>
      <c r="EM14" s="71"/>
      <c r="EN14" s="71"/>
      <c r="EO14" s="71"/>
      <c r="EP14" s="71"/>
      <c r="EQ14" s="71"/>
      <c r="ER14" s="71"/>
      <c r="ES14" s="71"/>
      <c r="ET14" s="71"/>
      <c r="EU14" s="71"/>
      <c r="EV14" s="71"/>
      <c r="EW14" s="71"/>
      <c r="EX14" s="71"/>
      <c r="EY14" s="71"/>
      <c r="EZ14" s="71"/>
      <c r="FA14" s="71"/>
      <c r="FB14" s="71"/>
      <c r="FC14" s="71"/>
      <c r="FD14" s="71"/>
      <c r="FE14" s="71"/>
      <c r="FF14" s="71"/>
      <c r="FG14" s="71"/>
      <c r="FH14" s="71"/>
      <c r="FI14" s="71"/>
      <c r="FJ14" s="71"/>
      <c r="FK14" s="71"/>
      <c r="FL14" s="71"/>
      <c r="FM14" s="71"/>
      <c r="FN14" s="71"/>
      <c r="FO14" s="71"/>
      <c r="FP14" s="71"/>
      <c r="FQ14" s="71"/>
      <c r="FR14" s="71"/>
      <c r="FS14" s="71"/>
      <c r="FT14" s="71"/>
      <c r="FU14" s="71"/>
      <c r="FV14" s="71"/>
      <c r="FW14" s="71"/>
      <c r="FX14" s="71"/>
      <c r="FY14" s="71"/>
      <c r="FZ14" s="71"/>
      <c r="GA14" s="71"/>
      <c r="GB14" s="71"/>
      <c r="GC14" s="71"/>
      <c r="GD14" s="71"/>
      <c r="GE14" s="71"/>
      <c r="GF14" s="71"/>
      <c r="GG14" s="71"/>
      <c r="GH14" s="71"/>
      <c r="GI14" s="71"/>
      <c r="GJ14" s="71"/>
      <c r="GK14" s="71"/>
      <c r="GL14" s="71"/>
      <c r="GM14" s="71"/>
      <c r="GN14" s="71"/>
      <c r="GO14" s="71"/>
      <c r="GP14" s="71"/>
      <c r="GQ14" s="71"/>
      <c r="GR14" s="71"/>
      <c r="GS14" s="71"/>
      <c r="GT14" s="71"/>
      <c r="GU14" s="71"/>
      <c r="GV14" s="71"/>
      <c r="GW14" s="71"/>
      <c r="GX14" s="71"/>
      <c r="GY14" s="71"/>
      <c r="GZ14" s="71"/>
      <c r="HA14" s="71"/>
      <c r="HB14" s="71"/>
      <c r="HC14" s="71"/>
      <c r="HD14" s="71"/>
      <c r="HE14" s="71"/>
      <c r="HF14" s="71"/>
      <c r="HG14" s="71"/>
      <c r="HH14" s="71"/>
      <c r="HI14" s="71"/>
      <c r="HJ14" s="71"/>
      <c r="HK14" s="71"/>
      <c r="HL14" s="71"/>
      <c r="HM14" s="71"/>
      <c r="HN14" s="71"/>
      <c r="HO14" s="71"/>
      <c r="HP14" s="71"/>
      <c r="HQ14" s="71"/>
      <c r="HR14" s="71"/>
      <c r="HS14" s="71"/>
      <c r="HT14" s="71"/>
      <c r="HU14" s="71"/>
      <c r="HV14" s="71"/>
      <c r="HW14" s="71"/>
      <c r="HX14" s="71"/>
      <c r="HY14" s="71"/>
      <c r="HZ14" s="71"/>
      <c r="IA14" s="71"/>
      <c r="IB14" s="71"/>
      <c r="IC14" s="71"/>
      <c r="ID14" s="71"/>
      <c r="IE14" s="71"/>
      <c r="IF14" s="71"/>
      <c r="IG14" s="71"/>
      <c r="IH14" s="71"/>
      <c r="II14" s="71"/>
      <c r="IJ14" s="71"/>
      <c r="IK14" s="71"/>
      <c r="IL14" s="71"/>
      <c r="IM14" s="71"/>
      <c r="IN14" s="71"/>
      <c r="IO14" s="71"/>
      <c r="IP14" s="71"/>
      <c r="IQ14" s="71"/>
      <c r="IR14" s="71"/>
      <c r="IS14" s="71"/>
      <c r="IT14" s="71"/>
      <c r="IU14" s="71"/>
      <c r="IV14" s="71"/>
      <c r="IW14" s="71"/>
      <c r="IX14" s="71"/>
      <c r="IY14" s="71"/>
      <c r="IZ14" s="71"/>
      <c r="JA14" s="71"/>
      <c r="JB14" s="71"/>
      <c r="JC14" s="71"/>
      <c r="JD14" s="71"/>
      <c r="JE14" s="71"/>
      <c r="JF14" s="71"/>
      <c r="JG14" s="71"/>
      <c r="JH14" s="71"/>
      <c r="JI14" s="71"/>
      <c r="JJ14" s="71"/>
      <c r="JK14" s="71"/>
      <c r="JL14" s="71"/>
      <c r="JM14" s="71"/>
      <c r="JN14" s="71"/>
      <c r="JO14" s="71"/>
      <c r="JP14" s="71"/>
      <c r="JQ14" s="71"/>
      <c r="JR14" s="71"/>
      <c r="JS14" s="71"/>
      <c r="JT14" s="71"/>
      <c r="JU14" s="71"/>
      <c r="JV14" s="71"/>
      <c r="JW14" s="71"/>
      <c r="JX14" s="71"/>
      <c r="JY14" s="71"/>
      <c r="JZ14" s="71"/>
      <c r="KA14" s="71"/>
      <c r="KB14" s="71"/>
      <c r="KC14" s="71"/>
      <c r="KD14" s="71"/>
      <c r="KE14" s="71"/>
      <c r="KF14" s="71"/>
      <c r="KG14" s="71"/>
      <c r="KH14" s="71"/>
      <c r="KI14" s="71"/>
      <c r="KJ14" s="71"/>
      <c r="KK14" s="71"/>
      <c r="KL14" s="71"/>
      <c r="KM14" s="71"/>
      <c r="KN14" s="71"/>
      <c r="KO14" s="71"/>
      <c r="KP14" s="71"/>
      <c r="KQ14" s="71"/>
      <c r="KR14" s="71"/>
      <c r="KS14" s="71"/>
      <c r="KT14" s="71"/>
      <c r="KU14" s="71"/>
      <c r="KV14" s="71"/>
      <c r="KW14" s="71"/>
      <c r="KX14" s="71"/>
      <c r="KY14" s="71"/>
      <c r="KZ14" s="71"/>
      <c r="LA14" s="71"/>
      <c r="LB14" s="71"/>
      <c r="LC14" s="71"/>
      <c r="LD14" s="71"/>
      <c r="LE14" s="71"/>
      <c r="LF14" s="71"/>
      <c r="LG14" s="71"/>
      <c r="LH14" s="71"/>
      <c r="LI14" s="71"/>
      <c r="LJ14" s="71"/>
      <c r="LK14" s="71"/>
      <c r="LL14" s="71"/>
      <c r="LM14" s="71"/>
      <c r="LN14" s="71"/>
      <c r="LO14" s="71"/>
      <c r="LP14" s="71"/>
      <c r="LQ14" s="71"/>
      <c r="LR14" s="71"/>
      <c r="LS14" s="71"/>
      <c r="LT14" s="71"/>
      <c r="LU14" s="71"/>
      <c r="LV14" s="71"/>
      <c r="LW14" s="71"/>
      <c r="LX14" s="71"/>
      <c r="LY14" s="71"/>
      <c r="LZ14" s="71"/>
      <c r="MA14" s="71"/>
      <c r="MB14" s="71"/>
      <c r="MC14" s="71"/>
      <c r="MD14" s="71"/>
      <c r="ME14" s="71"/>
      <c r="MF14" s="71"/>
      <c r="MG14" s="71"/>
      <c r="MH14" s="71"/>
      <c r="MI14" s="71"/>
      <c r="MJ14" s="71"/>
      <c r="MK14" s="71"/>
      <c r="ML14" s="71"/>
      <c r="MM14" s="71"/>
      <c r="MN14" s="71"/>
      <c r="MO14" s="71"/>
      <c r="MP14" s="71"/>
      <c r="MQ14" s="71"/>
      <c r="MR14" s="71"/>
      <c r="MS14" s="71"/>
      <c r="MT14" s="71"/>
      <c r="MU14" s="71"/>
      <c r="MV14" s="71"/>
      <c r="MW14" s="71"/>
      <c r="MX14" s="71"/>
      <c r="MY14" s="71"/>
      <c r="MZ14" s="71"/>
      <c r="NA14" s="71"/>
      <c r="NB14" s="71"/>
      <c r="NC14" s="71"/>
      <c r="ND14" s="71"/>
      <c r="NE14" s="71"/>
      <c r="NF14" s="71"/>
      <c r="NG14" s="71"/>
      <c r="NH14" s="71"/>
      <c r="NI14" s="71"/>
      <c r="NJ14" s="71"/>
      <c r="NK14" s="71"/>
      <c r="NL14" s="71"/>
      <c r="NM14" s="71"/>
      <c r="NN14" s="71"/>
      <c r="NO14" s="71"/>
      <c r="NP14" s="71"/>
      <c r="NQ14" s="71"/>
      <c r="NR14" s="71"/>
      <c r="NS14" s="71"/>
      <c r="NT14" s="71"/>
      <c r="NU14" s="71"/>
      <c r="NV14" s="71"/>
      <c r="NW14" s="71"/>
      <c r="NX14" s="71"/>
      <c r="NY14" s="71"/>
      <c r="NZ14" s="71"/>
      <c r="OA14" s="71"/>
      <c r="OB14" s="71"/>
      <c r="OC14" s="71"/>
      <c r="OD14" s="71"/>
      <c r="OE14" s="71"/>
      <c r="OF14" s="71"/>
      <c r="OG14" s="71"/>
      <c r="OH14" s="71"/>
      <c r="OI14" s="71"/>
      <c r="OJ14" s="71"/>
      <c r="OK14" s="71"/>
      <c r="OL14" s="71"/>
      <c r="OM14" s="71"/>
      <c r="ON14" s="71"/>
      <c r="OO14" s="71"/>
      <c r="OP14" s="71"/>
      <c r="OQ14" s="71"/>
      <c r="OR14" s="71"/>
      <c r="OS14" s="71"/>
      <c r="OT14" s="71"/>
      <c r="OU14" s="71"/>
      <c r="OV14" s="71"/>
      <c r="OW14" s="71"/>
      <c r="OX14" s="71"/>
      <c r="OY14" s="71"/>
      <c r="OZ14" s="71"/>
      <c r="PA14" s="71"/>
      <c r="PB14" s="71"/>
      <c r="PC14" s="71"/>
      <c r="PD14" s="71"/>
      <c r="PE14" s="71"/>
      <c r="PF14" s="71"/>
      <c r="PG14" s="71"/>
      <c r="PH14" s="71"/>
      <c r="PI14" s="71"/>
      <c r="PJ14" s="71"/>
      <c r="PK14" s="71"/>
      <c r="PL14" s="71"/>
      <c r="PM14" s="71"/>
      <c r="PN14" s="71"/>
      <c r="PO14" s="71"/>
      <c r="PP14" s="71"/>
      <c r="PQ14" s="71"/>
      <c r="PR14" s="71"/>
      <c r="PS14" s="71"/>
      <c r="PT14" s="71"/>
      <c r="PU14" s="71"/>
      <c r="PV14" s="71"/>
      <c r="PW14" s="71"/>
      <c r="PX14" s="71"/>
      <c r="PY14" s="71"/>
      <c r="PZ14" s="71"/>
      <c r="QA14" s="71"/>
      <c r="QB14" s="71"/>
      <c r="QC14" s="71"/>
      <c r="QD14" s="71"/>
      <c r="QE14" s="71"/>
      <c r="QF14" s="71"/>
      <c r="QG14" s="71"/>
      <c r="QH14" s="71"/>
      <c r="QI14" s="71"/>
      <c r="QJ14" s="71"/>
      <c r="QK14" s="71"/>
      <c r="QL14" s="71"/>
      <c r="QM14" s="71"/>
      <c r="QN14" s="71"/>
      <c r="QO14" s="71"/>
      <c r="QP14" s="71"/>
      <c r="QQ14" s="71"/>
      <c r="QR14" s="71"/>
      <c r="QS14" s="71"/>
      <c r="QT14" s="71"/>
      <c r="QU14" s="71"/>
      <c r="QV14" s="71"/>
      <c r="QW14" s="71"/>
      <c r="QX14" s="71"/>
      <c r="QY14" s="71"/>
      <c r="QZ14" s="71"/>
      <c r="RA14" s="71"/>
      <c r="RB14" s="71"/>
      <c r="RC14" s="71"/>
      <c r="RD14" s="71"/>
      <c r="RE14" s="71"/>
      <c r="RF14" s="71"/>
      <c r="RG14" s="71"/>
      <c r="RH14" s="71"/>
      <c r="RI14" s="71"/>
      <c r="RJ14" s="71"/>
      <c r="RK14" s="71"/>
      <c r="RL14" s="71"/>
      <c r="RM14" s="71"/>
      <c r="RN14" s="71"/>
      <c r="RO14" s="71"/>
      <c r="RP14" s="71"/>
      <c r="RQ14" s="71"/>
      <c r="RR14" s="71"/>
      <c r="RS14" s="71"/>
      <c r="RT14" s="71"/>
      <c r="RU14" s="71"/>
      <c r="RV14" s="71"/>
      <c r="RW14" s="71"/>
      <c r="RX14" s="71"/>
      <c r="RY14" s="71"/>
      <c r="RZ14" s="71"/>
      <c r="SA14" s="71"/>
      <c r="SB14" s="71"/>
      <c r="SC14" s="71"/>
      <c r="SD14" s="71"/>
      <c r="SE14" s="71"/>
      <c r="SF14" s="71"/>
      <c r="SG14" s="71"/>
      <c r="SH14" s="71"/>
      <c r="SI14" s="71"/>
      <c r="SJ14" s="71"/>
      <c r="SK14" s="71"/>
      <c r="SL14" s="71"/>
      <c r="SM14" s="71"/>
      <c r="SN14" s="71"/>
      <c r="SO14" s="71"/>
      <c r="SP14" s="71"/>
      <c r="SQ14" s="71"/>
      <c r="SR14" s="71"/>
      <c r="SS14" s="71"/>
      <c r="ST14" s="71"/>
      <c r="SU14" s="71"/>
      <c r="SV14" s="71"/>
      <c r="SW14" s="71"/>
      <c r="SX14" s="71"/>
      <c r="SY14" s="71"/>
      <c r="SZ14" s="71"/>
      <c r="TA14" s="71"/>
      <c r="TB14" s="71"/>
      <c r="TC14" s="71"/>
      <c r="TD14" s="71"/>
      <c r="TE14" s="71"/>
      <c r="TF14" s="71"/>
      <c r="TG14" s="71"/>
      <c r="TH14" s="71"/>
      <c r="TI14" s="71"/>
      <c r="TJ14" s="71"/>
      <c r="TK14" s="71"/>
      <c r="TL14" s="71"/>
      <c r="TM14" s="71"/>
      <c r="TN14" s="71"/>
      <c r="TO14" s="71"/>
      <c r="TP14" s="71"/>
      <c r="TQ14" s="71"/>
      <c r="TR14" s="71"/>
      <c r="TS14" s="71"/>
      <c r="TT14" s="71"/>
      <c r="TU14" s="71"/>
      <c r="TV14" s="71"/>
      <c r="TW14" s="71"/>
      <c r="TX14" s="71"/>
      <c r="TY14" s="71"/>
      <c r="TZ14" s="71"/>
      <c r="UA14" s="71"/>
      <c r="UB14" s="71"/>
      <c r="UC14" s="71"/>
      <c r="UD14" s="71"/>
      <c r="UE14" s="71"/>
      <c r="UF14" s="71"/>
      <c r="UG14" s="71"/>
      <c r="UH14" s="71"/>
      <c r="UI14" s="71"/>
      <c r="UJ14" s="71"/>
      <c r="UK14" s="71"/>
      <c r="UL14" s="71"/>
      <c r="UM14" s="71"/>
      <c r="UN14" s="71"/>
      <c r="UO14" s="71"/>
      <c r="UP14" s="71"/>
      <c r="UQ14" s="71"/>
      <c r="UR14" s="71"/>
      <c r="US14" s="71"/>
      <c r="UT14" s="71"/>
      <c r="UU14" s="71"/>
      <c r="UV14" s="71"/>
      <c r="UW14" s="71"/>
      <c r="UX14" s="71"/>
      <c r="UY14" s="71"/>
      <c r="UZ14" s="71"/>
      <c r="VA14" s="71"/>
      <c r="VB14" s="71"/>
      <c r="VC14" s="71"/>
      <c r="VD14" s="71"/>
      <c r="VE14" s="71"/>
      <c r="VF14" s="71"/>
      <c r="VG14" s="71"/>
      <c r="VH14" s="71"/>
      <c r="VI14" s="71"/>
      <c r="VJ14" s="71"/>
      <c r="VK14" s="71"/>
      <c r="VL14" s="71"/>
      <c r="VM14" s="71"/>
      <c r="VN14" s="71"/>
      <c r="VO14" s="71"/>
      <c r="VP14" s="71"/>
      <c r="VQ14" s="71"/>
      <c r="VR14" s="71"/>
      <c r="VS14" s="71"/>
      <c r="VT14" s="71"/>
      <c r="VU14" s="71"/>
      <c r="VV14" s="71"/>
      <c r="VW14" s="71"/>
      <c r="VX14" s="71"/>
      <c r="VY14" s="71"/>
      <c r="VZ14" s="71"/>
      <c r="WA14" s="71"/>
      <c r="WB14" s="71"/>
      <c r="WC14" s="71"/>
      <c r="WD14" s="71"/>
      <c r="WE14" s="71"/>
      <c r="WF14" s="71"/>
      <c r="WG14" s="71"/>
      <c r="WH14" s="71"/>
      <c r="WI14" s="71"/>
      <c r="WJ14" s="71"/>
      <c r="WK14" s="71"/>
      <c r="WL14" s="71"/>
      <c r="WM14" s="71"/>
      <c r="WN14" s="71"/>
      <c r="WO14" s="71"/>
      <c r="WP14" s="71"/>
      <c r="WQ14" s="71"/>
      <c r="WR14" s="71"/>
      <c r="WS14" s="71"/>
      <c r="WT14" s="71"/>
      <c r="WU14" s="71"/>
      <c r="WV14" s="71"/>
      <c r="WW14" s="71"/>
      <c r="WX14" s="71"/>
      <c r="WY14" s="71"/>
      <c r="WZ14" s="71"/>
      <c r="XA14" s="71"/>
      <c r="XB14" s="71"/>
      <c r="XC14" s="71"/>
      <c r="XD14" s="71"/>
      <c r="XE14" s="71"/>
      <c r="XF14" s="71"/>
      <c r="XG14" s="71"/>
      <c r="XH14" s="71"/>
      <c r="XI14" s="71"/>
      <c r="XJ14" s="71"/>
      <c r="XK14" s="71"/>
      <c r="XL14" s="71"/>
      <c r="XM14" s="71"/>
      <c r="XN14" s="71"/>
      <c r="XO14" s="71"/>
      <c r="XP14" s="71"/>
      <c r="XQ14" s="71"/>
      <c r="XR14" s="71"/>
      <c r="XS14" s="71"/>
      <c r="XT14" s="71"/>
      <c r="XU14" s="71"/>
      <c r="XV14" s="71"/>
      <c r="XW14" s="71"/>
      <c r="XX14" s="71"/>
      <c r="XY14" s="71"/>
      <c r="XZ14" s="71"/>
      <c r="YA14" s="71"/>
      <c r="YB14" s="71"/>
      <c r="YC14" s="71"/>
      <c r="YD14" s="71"/>
      <c r="YE14" s="71"/>
      <c r="YF14" s="71"/>
      <c r="YG14" s="71"/>
      <c r="YH14" s="71"/>
      <c r="YI14" s="71"/>
      <c r="YJ14" s="71"/>
      <c r="YK14" s="71"/>
      <c r="YL14" s="71"/>
      <c r="YM14" s="71"/>
      <c r="YN14" s="71"/>
      <c r="YO14" s="71"/>
      <c r="YP14" s="71"/>
      <c r="YQ14" s="71"/>
      <c r="YR14" s="71"/>
      <c r="YS14" s="71"/>
      <c r="YT14" s="71"/>
      <c r="YU14" s="71"/>
      <c r="YV14" s="71"/>
      <c r="YW14" s="71"/>
      <c r="YX14" s="71"/>
      <c r="YY14" s="71"/>
      <c r="YZ14" s="71"/>
      <c r="ZA14" s="71"/>
      <c r="ZB14" s="71"/>
      <c r="ZC14" s="71"/>
      <c r="ZD14" s="71"/>
      <c r="ZE14" s="71"/>
      <c r="ZF14" s="71"/>
      <c r="ZG14" s="71"/>
      <c r="ZH14" s="71"/>
      <c r="ZI14" s="71"/>
      <c r="ZJ14" s="71"/>
      <c r="ZK14" s="71"/>
      <c r="ZL14" s="71"/>
      <c r="ZM14" s="71"/>
      <c r="ZN14" s="71"/>
      <c r="ZO14" s="71"/>
      <c r="ZP14" s="71"/>
      <c r="ZQ14" s="71"/>
      <c r="ZR14" s="71"/>
      <c r="ZS14" s="71"/>
      <c r="ZT14" s="71"/>
      <c r="ZU14" s="71"/>
      <c r="ZV14" s="71"/>
      <c r="ZW14" s="71"/>
      <c r="ZX14" s="71"/>
      <c r="ZY14" s="71"/>
      <c r="ZZ14" s="71"/>
      <c r="AAA14" s="71"/>
      <c r="AAB14" s="71"/>
      <c r="AAC14" s="71"/>
      <c r="AAD14" s="71"/>
      <c r="AAE14" s="71"/>
      <c r="AAF14" s="71"/>
    </row>
    <row r="15" spans="1:708" s="79" customFormat="1" ht="54" customHeight="1" x14ac:dyDescent="0.25">
      <c r="A15" s="504"/>
      <c r="B15" s="559"/>
      <c r="C15" s="508"/>
      <c r="D15" s="508"/>
      <c r="E15" s="508"/>
      <c r="F15" s="508"/>
      <c r="G15" s="508"/>
      <c r="H15" s="508"/>
      <c r="I15" s="561"/>
      <c r="J15" s="391"/>
      <c r="K15" s="391"/>
      <c r="L15" s="391"/>
      <c r="M15" s="391"/>
      <c r="N15" s="391"/>
      <c r="O15" s="391"/>
      <c r="P15" s="391"/>
      <c r="Q15" s="73" t="s">
        <v>66</v>
      </c>
      <c r="R15" s="73" t="s">
        <v>67</v>
      </c>
      <c r="S15" s="74" t="s">
        <v>56</v>
      </c>
      <c r="T15" s="74">
        <v>35</v>
      </c>
      <c r="U15" s="74">
        <v>60</v>
      </c>
      <c r="V15" s="569"/>
      <c r="W15" s="570"/>
      <c r="X15" s="75" t="s">
        <v>102</v>
      </c>
      <c r="Y15" s="391"/>
      <c r="Z15" s="391"/>
      <c r="AA15" s="392"/>
      <c r="AB15" s="391"/>
      <c r="AC15" s="74">
        <v>4</v>
      </c>
      <c r="AD15" s="74">
        <f t="shared" si="0"/>
        <v>60</v>
      </c>
      <c r="AE15" s="76">
        <f>+AC15/AD15</f>
        <v>6.6666666666666666E-2</v>
      </c>
      <c r="AF15" s="74" t="s">
        <v>109</v>
      </c>
      <c r="AG15" s="562"/>
      <c r="AH15" s="562"/>
      <c r="AI15" s="563"/>
      <c r="AJ15" s="562"/>
      <c r="AK15" s="77">
        <v>7</v>
      </c>
      <c r="AL15" s="77">
        <v>60</v>
      </c>
      <c r="AM15" s="78">
        <v>0.11666666666666667</v>
      </c>
      <c r="AN15" s="77" t="s">
        <v>110</v>
      </c>
      <c r="AO15" s="562"/>
      <c r="AP15" s="562"/>
      <c r="AQ15" s="563"/>
      <c r="AR15" s="562"/>
      <c r="AS15" s="77">
        <v>9</v>
      </c>
      <c r="AT15" s="77">
        <f t="shared" si="1"/>
        <v>60</v>
      </c>
      <c r="AU15" s="78">
        <f>+AS15/AT15</f>
        <v>0.15</v>
      </c>
      <c r="AV15" s="77" t="s">
        <v>111</v>
      </c>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c r="ES15" s="71"/>
      <c r="ET15" s="71"/>
      <c r="EU15" s="71"/>
      <c r="EV15" s="71"/>
      <c r="EW15" s="71"/>
      <c r="EX15" s="71"/>
      <c r="EY15" s="71"/>
      <c r="EZ15" s="71"/>
      <c r="FA15" s="71"/>
      <c r="FB15" s="71"/>
      <c r="FC15" s="71"/>
      <c r="FD15" s="71"/>
      <c r="FE15" s="71"/>
      <c r="FF15" s="71"/>
      <c r="FG15" s="71"/>
      <c r="FH15" s="71"/>
      <c r="FI15" s="71"/>
      <c r="FJ15" s="71"/>
      <c r="FK15" s="71"/>
      <c r="FL15" s="71"/>
      <c r="FM15" s="71"/>
      <c r="FN15" s="71"/>
      <c r="FO15" s="71"/>
      <c r="FP15" s="71"/>
      <c r="FQ15" s="71"/>
      <c r="FR15" s="71"/>
      <c r="FS15" s="71"/>
      <c r="FT15" s="71"/>
      <c r="FU15" s="71"/>
      <c r="FV15" s="71"/>
      <c r="FW15" s="71"/>
      <c r="FX15" s="71"/>
      <c r="FY15" s="71"/>
      <c r="FZ15" s="71"/>
      <c r="GA15" s="71"/>
      <c r="GB15" s="71"/>
      <c r="GC15" s="71"/>
      <c r="GD15" s="71"/>
      <c r="GE15" s="71"/>
      <c r="GF15" s="71"/>
      <c r="GG15" s="71"/>
      <c r="GH15" s="71"/>
      <c r="GI15" s="71"/>
      <c r="GJ15" s="71"/>
      <c r="GK15" s="71"/>
      <c r="GL15" s="71"/>
      <c r="GM15" s="71"/>
      <c r="GN15" s="71"/>
      <c r="GO15" s="71"/>
      <c r="GP15" s="71"/>
      <c r="GQ15" s="71"/>
      <c r="GR15" s="71"/>
      <c r="GS15" s="71"/>
      <c r="GT15" s="71"/>
      <c r="GU15" s="71"/>
      <c r="GV15" s="71"/>
      <c r="GW15" s="71"/>
      <c r="GX15" s="71"/>
      <c r="GY15" s="71"/>
      <c r="GZ15" s="71"/>
      <c r="HA15" s="71"/>
      <c r="HB15" s="71"/>
      <c r="HC15" s="71"/>
      <c r="HD15" s="71"/>
      <c r="HE15" s="71"/>
      <c r="HF15" s="71"/>
      <c r="HG15" s="71"/>
      <c r="HH15" s="71"/>
      <c r="HI15" s="71"/>
      <c r="HJ15" s="71"/>
      <c r="HK15" s="71"/>
      <c r="HL15" s="71"/>
      <c r="HM15" s="71"/>
      <c r="HN15" s="71"/>
      <c r="HO15" s="71"/>
      <c r="HP15" s="71"/>
      <c r="HQ15" s="71"/>
      <c r="HR15" s="71"/>
      <c r="HS15" s="71"/>
      <c r="HT15" s="71"/>
      <c r="HU15" s="71"/>
      <c r="HV15" s="71"/>
      <c r="HW15" s="71"/>
      <c r="HX15" s="71"/>
      <c r="HY15" s="71"/>
      <c r="HZ15" s="71"/>
      <c r="IA15" s="71"/>
      <c r="IB15" s="71"/>
      <c r="IC15" s="71"/>
      <c r="ID15" s="71"/>
      <c r="IE15" s="71"/>
      <c r="IF15" s="71"/>
      <c r="IG15" s="71"/>
      <c r="IH15" s="71"/>
      <c r="II15" s="71"/>
      <c r="IJ15" s="71"/>
      <c r="IK15" s="71"/>
      <c r="IL15" s="71"/>
      <c r="IM15" s="71"/>
      <c r="IN15" s="71"/>
      <c r="IO15" s="71"/>
      <c r="IP15" s="71"/>
      <c r="IQ15" s="71"/>
      <c r="IR15" s="71"/>
      <c r="IS15" s="71"/>
      <c r="IT15" s="71"/>
      <c r="IU15" s="71"/>
      <c r="IV15" s="71"/>
      <c r="IW15" s="71"/>
      <c r="IX15" s="71"/>
      <c r="IY15" s="71"/>
      <c r="IZ15" s="71"/>
      <c r="JA15" s="71"/>
      <c r="JB15" s="71"/>
      <c r="JC15" s="71"/>
      <c r="JD15" s="71"/>
      <c r="JE15" s="71"/>
      <c r="JF15" s="71"/>
      <c r="JG15" s="71"/>
      <c r="JH15" s="71"/>
      <c r="JI15" s="71"/>
      <c r="JJ15" s="71"/>
      <c r="JK15" s="71"/>
      <c r="JL15" s="71"/>
      <c r="JM15" s="71"/>
      <c r="JN15" s="71"/>
      <c r="JO15" s="71"/>
      <c r="JP15" s="71"/>
      <c r="JQ15" s="71"/>
      <c r="JR15" s="71"/>
      <c r="JS15" s="71"/>
      <c r="JT15" s="71"/>
      <c r="JU15" s="71"/>
      <c r="JV15" s="71"/>
      <c r="JW15" s="71"/>
      <c r="JX15" s="71"/>
      <c r="JY15" s="71"/>
      <c r="JZ15" s="71"/>
      <c r="KA15" s="71"/>
      <c r="KB15" s="71"/>
      <c r="KC15" s="71"/>
      <c r="KD15" s="71"/>
      <c r="KE15" s="71"/>
      <c r="KF15" s="71"/>
      <c r="KG15" s="71"/>
      <c r="KH15" s="71"/>
      <c r="KI15" s="71"/>
      <c r="KJ15" s="71"/>
      <c r="KK15" s="71"/>
      <c r="KL15" s="71"/>
      <c r="KM15" s="71"/>
      <c r="KN15" s="71"/>
      <c r="KO15" s="71"/>
      <c r="KP15" s="71"/>
      <c r="KQ15" s="71"/>
      <c r="KR15" s="71"/>
      <c r="KS15" s="71"/>
      <c r="KT15" s="71"/>
      <c r="KU15" s="71"/>
      <c r="KV15" s="71"/>
      <c r="KW15" s="71"/>
      <c r="KX15" s="71"/>
      <c r="KY15" s="71"/>
      <c r="KZ15" s="71"/>
      <c r="LA15" s="71"/>
      <c r="LB15" s="71"/>
      <c r="LC15" s="71"/>
      <c r="LD15" s="71"/>
      <c r="LE15" s="71"/>
      <c r="LF15" s="71"/>
      <c r="LG15" s="71"/>
      <c r="LH15" s="71"/>
      <c r="LI15" s="71"/>
      <c r="LJ15" s="71"/>
      <c r="LK15" s="71"/>
      <c r="LL15" s="71"/>
      <c r="LM15" s="71"/>
      <c r="LN15" s="71"/>
      <c r="LO15" s="71"/>
      <c r="LP15" s="71"/>
      <c r="LQ15" s="71"/>
      <c r="LR15" s="71"/>
      <c r="LS15" s="71"/>
      <c r="LT15" s="71"/>
      <c r="LU15" s="71"/>
      <c r="LV15" s="71"/>
      <c r="LW15" s="71"/>
      <c r="LX15" s="71"/>
      <c r="LY15" s="71"/>
      <c r="LZ15" s="71"/>
      <c r="MA15" s="71"/>
      <c r="MB15" s="71"/>
      <c r="MC15" s="71"/>
      <c r="MD15" s="71"/>
      <c r="ME15" s="71"/>
      <c r="MF15" s="71"/>
      <c r="MG15" s="71"/>
      <c r="MH15" s="71"/>
      <c r="MI15" s="71"/>
      <c r="MJ15" s="71"/>
      <c r="MK15" s="71"/>
      <c r="ML15" s="71"/>
      <c r="MM15" s="71"/>
      <c r="MN15" s="71"/>
      <c r="MO15" s="71"/>
      <c r="MP15" s="71"/>
      <c r="MQ15" s="71"/>
      <c r="MR15" s="71"/>
      <c r="MS15" s="71"/>
      <c r="MT15" s="71"/>
      <c r="MU15" s="71"/>
      <c r="MV15" s="71"/>
      <c r="MW15" s="71"/>
      <c r="MX15" s="71"/>
      <c r="MY15" s="71"/>
      <c r="MZ15" s="71"/>
      <c r="NA15" s="71"/>
      <c r="NB15" s="71"/>
      <c r="NC15" s="71"/>
      <c r="ND15" s="71"/>
      <c r="NE15" s="71"/>
      <c r="NF15" s="71"/>
      <c r="NG15" s="71"/>
      <c r="NH15" s="71"/>
      <c r="NI15" s="71"/>
      <c r="NJ15" s="71"/>
      <c r="NK15" s="71"/>
      <c r="NL15" s="71"/>
      <c r="NM15" s="71"/>
      <c r="NN15" s="71"/>
      <c r="NO15" s="71"/>
      <c r="NP15" s="71"/>
      <c r="NQ15" s="71"/>
      <c r="NR15" s="71"/>
      <c r="NS15" s="71"/>
      <c r="NT15" s="71"/>
      <c r="NU15" s="71"/>
      <c r="NV15" s="71"/>
      <c r="NW15" s="71"/>
      <c r="NX15" s="71"/>
      <c r="NY15" s="71"/>
      <c r="NZ15" s="71"/>
      <c r="OA15" s="71"/>
      <c r="OB15" s="71"/>
      <c r="OC15" s="71"/>
      <c r="OD15" s="71"/>
      <c r="OE15" s="71"/>
      <c r="OF15" s="71"/>
      <c r="OG15" s="71"/>
      <c r="OH15" s="71"/>
      <c r="OI15" s="71"/>
      <c r="OJ15" s="71"/>
      <c r="OK15" s="71"/>
      <c r="OL15" s="71"/>
      <c r="OM15" s="71"/>
      <c r="ON15" s="71"/>
      <c r="OO15" s="71"/>
      <c r="OP15" s="71"/>
      <c r="OQ15" s="71"/>
      <c r="OR15" s="71"/>
      <c r="OS15" s="71"/>
      <c r="OT15" s="71"/>
      <c r="OU15" s="71"/>
      <c r="OV15" s="71"/>
      <c r="OW15" s="71"/>
      <c r="OX15" s="71"/>
      <c r="OY15" s="71"/>
      <c r="OZ15" s="71"/>
      <c r="PA15" s="71"/>
      <c r="PB15" s="71"/>
      <c r="PC15" s="71"/>
      <c r="PD15" s="71"/>
      <c r="PE15" s="71"/>
      <c r="PF15" s="71"/>
      <c r="PG15" s="71"/>
      <c r="PH15" s="71"/>
      <c r="PI15" s="71"/>
      <c r="PJ15" s="71"/>
      <c r="PK15" s="71"/>
      <c r="PL15" s="71"/>
      <c r="PM15" s="71"/>
      <c r="PN15" s="71"/>
      <c r="PO15" s="71"/>
      <c r="PP15" s="71"/>
      <c r="PQ15" s="71"/>
      <c r="PR15" s="71"/>
      <c r="PS15" s="71"/>
      <c r="PT15" s="71"/>
      <c r="PU15" s="71"/>
      <c r="PV15" s="71"/>
      <c r="PW15" s="71"/>
      <c r="PX15" s="71"/>
      <c r="PY15" s="71"/>
      <c r="PZ15" s="71"/>
      <c r="QA15" s="71"/>
      <c r="QB15" s="71"/>
      <c r="QC15" s="71"/>
      <c r="QD15" s="71"/>
      <c r="QE15" s="71"/>
      <c r="QF15" s="71"/>
      <c r="QG15" s="71"/>
      <c r="QH15" s="71"/>
      <c r="QI15" s="71"/>
      <c r="QJ15" s="71"/>
      <c r="QK15" s="71"/>
      <c r="QL15" s="71"/>
      <c r="QM15" s="71"/>
      <c r="QN15" s="71"/>
      <c r="QO15" s="71"/>
      <c r="QP15" s="71"/>
      <c r="QQ15" s="71"/>
      <c r="QR15" s="71"/>
      <c r="QS15" s="71"/>
      <c r="QT15" s="71"/>
      <c r="QU15" s="71"/>
      <c r="QV15" s="71"/>
      <c r="QW15" s="71"/>
      <c r="QX15" s="71"/>
      <c r="QY15" s="71"/>
      <c r="QZ15" s="71"/>
      <c r="RA15" s="71"/>
      <c r="RB15" s="71"/>
      <c r="RC15" s="71"/>
      <c r="RD15" s="71"/>
      <c r="RE15" s="71"/>
      <c r="RF15" s="71"/>
      <c r="RG15" s="71"/>
      <c r="RH15" s="71"/>
      <c r="RI15" s="71"/>
      <c r="RJ15" s="71"/>
      <c r="RK15" s="71"/>
      <c r="RL15" s="71"/>
      <c r="RM15" s="71"/>
      <c r="RN15" s="71"/>
      <c r="RO15" s="71"/>
      <c r="RP15" s="71"/>
      <c r="RQ15" s="71"/>
      <c r="RR15" s="71"/>
      <c r="RS15" s="71"/>
      <c r="RT15" s="71"/>
      <c r="RU15" s="71"/>
      <c r="RV15" s="71"/>
      <c r="RW15" s="71"/>
      <c r="RX15" s="71"/>
      <c r="RY15" s="71"/>
      <c r="RZ15" s="71"/>
      <c r="SA15" s="71"/>
      <c r="SB15" s="71"/>
      <c r="SC15" s="71"/>
      <c r="SD15" s="71"/>
      <c r="SE15" s="71"/>
      <c r="SF15" s="71"/>
      <c r="SG15" s="71"/>
      <c r="SH15" s="71"/>
      <c r="SI15" s="71"/>
      <c r="SJ15" s="71"/>
      <c r="SK15" s="71"/>
      <c r="SL15" s="71"/>
      <c r="SM15" s="71"/>
      <c r="SN15" s="71"/>
      <c r="SO15" s="71"/>
      <c r="SP15" s="71"/>
      <c r="SQ15" s="71"/>
      <c r="SR15" s="71"/>
      <c r="SS15" s="71"/>
      <c r="ST15" s="71"/>
      <c r="SU15" s="71"/>
      <c r="SV15" s="71"/>
      <c r="SW15" s="71"/>
      <c r="SX15" s="71"/>
      <c r="SY15" s="71"/>
      <c r="SZ15" s="71"/>
      <c r="TA15" s="71"/>
      <c r="TB15" s="71"/>
      <c r="TC15" s="71"/>
      <c r="TD15" s="71"/>
      <c r="TE15" s="71"/>
      <c r="TF15" s="71"/>
      <c r="TG15" s="71"/>
      <c r="TH15" s="71"/>
      <c r="TI15" s="71"/>
      <c r="TJ15" s="71"/>
      <c r="TK15" s="71"/>
      <c r="TL15" s="71"/>
      <c r="TM15" s="71"/>
      <c r="TN15" s="71"/>
      <c r="TO15" s="71"/>
      <c r="TP15" s="71"/>
      <c r="TQ15" s="71"/>
      <c r="TR15" s="71"/>
      <c r="TS15" s="71"/>
      <c r="TT15" s="71"/>
      <c r="TU15" s="71"/>
      <c r="TV15" s="71"/>
      <c r="TW15" s="71"/>
      <c r="TX15" s="71"/>
      <c r="TY15" s="71"/>
      <c r="TZ15" s="71"/>
      <c r="UA15" s="71"/>
      <c r="UB15" s="71"/>
      <c r="UC15" s="71"/>
      <c r="UD15" s="71"/>
      <c r="UE15" s="71"/>
      <c r="UF15" s="71"/>
      <c r="UG15" s="71"/>
      <c r="UH15" s="71"/>
      <c r="UI15" s="71"/>
      <c r="UJ15" s="71"/>
      <c r="UK15" s="71"/>
      <c r="UL15" s="71"/>
      <c r="UM15" s="71"/>
      <c r="UN15" s="71"/>
      <c r="UO15" s="71"/>
      <c r="UP15" s="71"/>
      <c r="UQ15" s="71"/>
      <c r="UR15" s="71"/>
      <c r="US15" s="71"/>
      <c r="UT15" s="71"/>
      <c r="UU15" s="71"/>
      <c r="UV15" s="71"/>
      <c r="UW15" s="71"/>
      <c r="UX15" s="71"/>
      <c r="UY15" s="71"/>
      <c r="UZ15" s="71"/>
      <c r="VA15" s="71"/>
      <c r="VB15" s="71"/>
      <c r="VC15" s="71"/>
      <c r="VD15" s="71"/>
      <c r="VE15" s="71"/>
      <c r="VF15" s="71"/>
      <c r="VG15" s="71"/>
      <c r="VH15" s="71"/>
      <c r="VI15" s="71"/>
      <c r="VJ15" s="71"/>
      <c r="VK15" s="71"/>
      <c r="VL15" s="71"/>
      <c r="VM15" s="71"/>
      <c r="VN15" s="71"/>
      <c r="VO15" s="71"/>
      <c r="VP15" s="71"/>
      <c r="VQ15" s="71"/>
      <c r="VR15" s="71"/>
      <c r="VS15" s="71"/>
      <c r="VT15" s="71"/>
      <c r="VU15" s="71"/>
      <c r="VV15" s="71"/>
      <c r="VW15" s="71"/>
      <c r="VX15" s="71"/>
      <c r="VY15" s="71"/>
      <c r="VZ15" s="71"/>
      <c r="WA15" s="71"/>
      <c r="WB15" s="71"/>
      <c r="WC15" s="71"/>
      <c r="WD15" s="71"/>
      <c r="WE15" s="71"/>
      <c r="WF15" s="71"/>
      <c r="WG15" s="71"/>
      <c r="WH15" s="71"/>
      <c r="WI15" s="71"/>
      <c r="WJ15" s="71"/>
      <c r="WK15" s="71"/>
      <c r="WL15" s="71"/>
      <c r="WM15" s="71"/>
      <c r="WN15" s="71"/>
      <c r="WO15" s="71"/>
      <c r="WP15" s="71"/>
      <c r="WQ15" s="71"/>
      <c r="WR15" s="71"/>
      <c r="WS15" s="71"/>
      <c r="WT15" s="71"/>
      <c r="WU15" s="71"/>
      <c r="WV15" s="71"/>
      <c r="WW15" s="71"/>
      <c r="WX15" s="71"/>
      <c r="WY15" s="71"/>
      <c r="WZ15" s="71"/>
      <c r="XA15" s="71"/>
      <c r="XB15" s="71"/>
      <c r="XC15" s="71"/>
      <c r="XD15" s="71"/>
      <c r="XE15" s="71"/>
      <c r="XF15" s="71"/>
      <c r="XG15" s="71"/>
      <c r="XH15" s="71"/>
      <c r="XI15" s="71"/>
      <c r="XJ15" s="71"/>
      <c r="XK15" s="71"/>
      <c r="XL15" s="71"/>
      <c r="XM15" s="71"/>
      <c r="XN15" s="71"/>
      <c r="XO15" s="71"/>
      <c r="XP15" s="71"/>
      <c r="XQ15" s="71"/>
      <c r="XR15" s="71"/>
      <c r="XS15" s="71"/>
      <c r="XT15" s="71"/>
      <c r="XU15" s="71"/>
      <c r="XV15" s="71"/>
      <c r="XW15" s="71"/>
      <c r="XX15" s="71"/>
      <c r="XY15" s="71"/>
      <c r="XZ15" s="71"/>
      <c r="YA15" s="71"/>
      <c r="YB15" s="71"/>
      <c r="YC15" s="71"/>
      <c r="YD15" s="71"/>
      <c r="YE15" s="71"/>
      <c r="YF15" s="71"/>
      <c r="YG15" s="71"/>
      <c r="YH15" s="71"/>
      <c r="YI15" s="71"/>
      <c r="YJ15" s="71"/>
      <c r="YK15" s="71"/>
      <c r="YL15" s="71"/>
      <c r="YM15" s="71"/>
      <c r="YN15" s="71"/>
      <c r="YO15" s="71"/>
      <c r="YP15" s="71"/>
      <c r="YQ15" s="71"/>
      <c r="YR15" s="71"/>
      <c r="YS15" s="71"/>
      <c r="YT15" s="71"/>
      <c r="YU15" s="71"/>
      <c r="YV15" s="71"/>
      <c r="YW15" s="71"/>
      <c r="YX15" s="71"/>
      <c r="YY15" s="71"/>
      <c r="YZ15" s="71"/>
      <c r="ZA15" s="71"/>
      <c r="ZB15" s="71"/>
      <c r="ZC15" s="71"/>
      <c r="ZD15" s="71"/>
      <c r="ZE15" s="71"/>
      <c r="ZF15" s="71"/>
      <c r="ZG15" s="71"/>
      <c r="ZH15" s="71"/>
      <c r="ZI15" s="71"/>
      <c r="ZJ15" s="71"/>
      <c r="ZK15" s="71"/>
      <c r="ZL15" s="71"/>
      <c r="ZM15" s="71"/>
      <c r="ZN15" s="71"/>
      <c r="ZO15" s="71"/>
      <c r="ZP15" s="71"/>
      <c r="ZQ15" s="71"/>
      <c r="ZR15" s="71"/>
      <c r="ZS15" s="71"/>
      <c r="ZT15" s="71"/>
      <c r="ZU15" s="71"/>
      <c r="ZV15" s="71"/>
      <c r="ZW15" s="71"/>
      <c r="ZX15" s="71"/>
      <c r="ZY15" s="71"/>
      <c r="ZZ15" s="71"/>
      <c r="AAA15" s="71"/>
      <c r="AAB15" s="71"/>
      <c r="AAC15" s="71"/>
      <c r="AAD15" s="71"/>
      <c r="AAE15" s="71"/>
      <c r="AAF15" s="71"/>
    </row>
    <row r="16" spans="1:708" s="72" customFormat="1" ht="54" customHeight="1" x14ac:dyDescent="0.25">
      <c r="A16" s="490" t="s">
        <v>43</v>
      </c>
      <c r="B16" s="566" t="s">
        <v>44</v>
      </c>
      <c r="C16" s="567" t="s">
        <v>45</v>
      </c>
      <c r="D16" s="567" t="s">
        <v>46</v>
      </c>
      <c r="E16" s="567" t="s">
        <v>71</v>
      </c>
      <c r="F16" s="567" t="s">
        <v>48</v>
      </c>
      <c r="G16" s="567" t="s">
        <v>49</v>
      </c>
      <c r="H16" s="567" t="s">
        <v>50</v>
      </c>
      <c r="I16" s="577" t="s">
        <v>51</v>
      </c>
      <c r="J16" s="390" t="s">
        <v>52</v>
      </c>
      <c r="K16" s="390" t="s">
        <v>101</v>
      </c>
      <c r="L16" s="390" t="s">
        <v>72</v>
      </c>
      <c r="M16" s="390" t="s">
        <v>112</v>
      </c>
      <c r="N16" s="390" t="s">
        <v>74</v>
      </c>
      <c r="O16" s="390"/>
      <c r="P16" s="389">
        <v>0.89</v>
      </c>
      <c r="Q16" s="66" t="s">
        <v>113</v>
      </c>
      <c r="R16" s="66" t="s">
        <v>114</v>
      </c>
      <c r="S16" s="67" t="s">
        <v>74</v>
      </c>
      <c r="T16" s="67"/>
      <c r="U16" s="82">
        <v>0.89</v>
      </c>
      <c r="V16" s="574">
        <v>2990630691</v>
      </c>
      <c r="W16" s="570"/>
      <c r="X16" s="26" t="s">
        <v>102</v>
      </c>
      <c r="Y16" s="392">
        <f>(1/1)</f>
        <v>1</v>
      </c>
      <c r="Z16" s="576">
        <f>+P16</f>
        <v>0.89</v>
      </c>
      <c r="AA16" s="392">
        <f>Y16/Z16</f>
        <v>1.1235955056179776</v>
      </c>
      <c r="AB16" s="391" t="s">
        <v>115</v>
      </c>
      <c r="AC16" s="68">
        <f>(2/2)</f>
        <v>1</v>
      </c>
      <c r="AD16" s="82">
        <f t="shared" si="0"/>
        <v>0.89</v>
      </c>
      <c r="AE16" s="68">
        <f>+AC16/AD16</f>
        <v>1.1235955056179776</v>
      </c>
      <c r="AF16" s="67" t="s">
        <v>116</v>
      </c>
      <c r="AG16" s="563">
        <v>1</v>
      </c>
      <c r="AH16" s="573">
        <v>0.89</v>
      </c>
      <c r="AI16" s="563">
        <v>1.1235955056179776</v>
      </c>
      <c r="AJ16" s="562" t="s">
        <v>117</v>
      </c>
      <c r="AK16" s="70">
        <v>1</v>
      </c>
      <c r="AL16" s="84">
        <v>0.89</v>
      </c>
      <c r="AM16" s="70">
        <v>1.1235955056179776</v>
      </c>
      <c r="AN16" s="69" t="s">
        <v>118</v>
      </c>
      <c r="AO16" s="563">
        <f>(9/9)</f>
        <v>1</v>
      </c>
      <c r="AP16" s="573">
        <f>+P16</f>
        <v>0.89</v>
      </c>
      <c r="AQ16" s="563">
        <f>AO16/AP16</f>
        <v>1.1235955056179776</v>
      </c>
      <c r="AR16" s="562" t="s">
        <v>119</v>
      </c>
      <c r="AS16" s="70">
        <f>(3/3)</f>
        <v>1</v>
      </c>
      <c r="AT16" s="84">
        <f t="shared" si="1"/>
        <v>0.89</v>
      </c>
      <c r="AU16" s="70">
        <f>+AS16/AT16</f>
        <v>1.1235955056179776</v>
      </c>
      <c r="AV16" s="69" t="s">
        <v>120</v>
      </c>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c r="DA16" s="71"/>
      <c r="DB16" s="71"/>
      <c r="DC16" s="71"/>
      <c r="DD16" s="71"/>
      <c r="DE16" s="71"/>
      <c r="DF16" s="71"/>
      <c r="DG16" s="71"/>
      <c r="DH16" s="71"/>
      <c r="DI16" s="71"/>
      <c r="DJ16" s="71"/>
      <c r="DK16" s="71"/>
      <c r="DL16" s="71"/>
      <c r="DM16" s="71"/>
      <c r="DN16" s="71"/>
      <c r="DO16" s="71"/>
      <c r="DP16" s="71"/>
      <c r="DQ16" s="71"/>
      <c r="DR16" s="71"/>
      <c r="DS16" s="71"/>
      <c r="DT16" s="71"/>
      <c r="DU16" s="71"/>
      <c r="DV16" s="71"/>
      <c r="DW16" s="71"/>
      <c r="DX16" s="71"/>
      <c r="DY16" s="71"/>
      <c r="DZ16" s="71"/>
      <c r="EA16" s="71"/>
      <c r="EB16" s="71"/>
      <c r="EC16" s="71"/>
      <c r="ED16" s="71"/>
      <c r="EE16" s="71"/>
      <c r="EF16" s="71"/>
      <c r="EG16" s="71"/>
      <c r="EH16" s="71"/>
      <c r="EI16" s="71"/>
      <c r="EJ16" s="71"/>
      <c r="EK16" s="71"/>
      <c r="EL16" s="71"/>
      <c r="EM16" s="71"/>
      <c r="EN16" s="71"/>
      <c r="EO16" s="71"/>
      <c r="EP16" s="71"/>
      <c r="EQ16" s="71"/>
      <c r="ER16" s="71"/>
      <c r="ES16" s="71"/>
      <c r="ET16" s="71"/>
      <c r="EU16" s="71"/>
      <c r="EV16" s="71"/>
      <c r="EW16" s="71"/>
      <c r="EX16" s="71"/>
      <c r="EY16" s="71"/>
      <c r="EZ16" s="71"/>
      <c r="FA16" s="71"/>
      <c r="FB16" s="71"/>
      <c r="FC16" s="71"/>
      <c r="FD16" s="71"/>
      <c r="FE16" s="71"/>
      <c r="FF16" s="71"/>
      <c r="FG16" s="71"/>
      <c r="FH16" s="71"/>
      <c r="FI16" s="71"/>
      <c r="FJ16" s="71"/>
      <c r="FK16" s="71"/>
      <c r="FL16" s="71"/>
      <c r="FM16" s="71"/>
      <c r="FN16" s="71"/>
      <c r="FO16" s="71"/>
      <c r="FP16" s="71"/>
      <c r="FQ16" s="71"/>
      <c r="FR16" s="71"/>
      <c r="FS16" s="71"/>
      <c r="FT16" s="71"/>
      <c r="FU16" s="71"/>
      <c r="FV16" s="71"/>
      <c r="FW16" s="71"/>
      <c r="FX16" s="71"/>
      <c r="FY16" s="71"/>
      <c r="FZ16" s="71"/>
      <c r="GA16" s="71"/>
      <c r="GB16" s="71"/>
      <c r="GC16" s="71"/>
      <c r="GD16" s="71"/>
      <c r="GE16" s="71"/>
      <c r="GF16" s="71"/>
      <c r="GG16" s="71"/>
      <c r="GH16" s="71"/>
      <c r="GI16" s="71"/>
      <c r="GJ16" s="71"/>
      <c r="GK16" s="71"/>
      <c r="GL16" s="71"/>
      <c r="GM16" s="71"/>
      <c r="GN16" s="71"/>
      <c r="GO16" s="71"/>
      <c r="GP16" s="71"/>
      <c r="GQ16" s="71"/>
      <c r="GR16" s="71"/>
      <c r="GS16" s="71"/>
      <c r="GT16" s="71"/>
      <c r="GU16" s="71"/>
      <c r="GV16" s="71"/>
      <c r="GW16" s="71"/>
      <c r="GX16" s="71"/>
      <c r="GY16" s="71"/>
      <c r="GZ16" s="71"/>
      <c r="HA16" s="71"/>
      <c r="HB16" s="71"/>
      <c r="HC16" s="71"/>
      <c r="HD16" s="71"/>
      <c r="HE16" s="71"/>
      <c r="HF16" s="71"/>
      <c r="HG16" s="71"/>
      <c r="HH16" s="71"/>
      <c r="HI16" s="71"/>
      <c r="HJ16" s="71"/>
      <c r="HK16" s="71"/>
      <c r="HL16" s="71"/>
      <c r="HM16" s="71"/>
      <c r="HN16" s="71"/>
      <c r="HO16" s="71"/>
      <c r="HP16" s="71"/>
      <c r="HQ16" s="71"/>
      <c r="HR16" s="71"/>
      <c r="HS16" s="71"/>
      <c r="HT16" s="71"/>
      <c r="HU16" s="71"/>
      <c r="HV16" s="71"/>
      <c r="HW16" s="71"/>
      <c r="HX16" s="71"/>
      <c r="HY16" s="71"/>
      <c r="HZ16" s="71"/>
      <c r="IA16" s="71"/>
      <c r="IB16" s="71"/>
      <c r="IC16" s="71"/>
      <c r="ID16" s="71"/>
      <c r="IE16" s="71"/>
      <c r="IF16" s="71"/>
      <c r="IG16" s="71"/>
      <c r="IH16" s="71"/>
      <c r="II16" s="71"/>
      <c r="IJ16" s="71"/>
      <c r="IK16" s="71"/>
      <c r="IL16" s="71"/>
      <c r="IM16" s="71"/>
      <c r="IN16" s="71"/>
      <c r="IO16" s="71"/>
      <c r="IP16" s="71"/>
      <c r="IQ16" s="71"/>
      <c r="IR16" s="71"/>
      <c r="IS16" s="71"/>
      <c r="IT16" s="71"/>
      <c r="IU16" s="71"/>
      <c r="IV16" s="71"/>
      <c r="IW16" s="71"/>
      <c r="IX16" s="71"/>
      <c r="IY16" s="71"/>
      <c r="IZ16" s="71"/>
      <c r="JA16" s="71"/>
      <c r="JB16" s="71"/>
      <c r="JC16" s="71"/>
      <c r="JD16" s="71"/>
      <c r="JE16" s="71"/>
      <c r="JF16" s="71"/>
      <c r="JG16" s="71"/>
      <c r="JH16" s="71"/>
      <c r="JI16" s="71"/>
      <c r="JJ16" s="71"/>
      <c r="JK16" s="71"/>
      <c r="JL16" s="71"/>
      <c r="JM16" s="71"/>
      <c r="JN16" s="71"/>
      <c r="JO16" s="71"/>
      <c r="JP16" s="71"/>
      <c r="JQ16" s="71"/>
      <c r="JR16" s="71"/>
      <c r="JS16" s="71"/>
      <c r="JT16" s="71"/>
      <c r="JU16" s="71"/>
      <c r="JV16" s="71"/>
      <c r="JW16" s="71"/>
      <c r="JX16" s="71"/>
      <c r="JY16" s="71"/>
      <c r="JZ16" s="71"/>
      <c r="KA16" s="71"/>
      <c r="KB16" s="71"/>
      <c r="KC16" s="71"/>
      <c r="KD16" s="71"/>
      <c r="KE16" s="71"/>
      <c r="KF16" s="71"/>
      <c r="KG16" s="71"/>
      <c r="KH16" s="71"/>
      <c r="KI16" s="71"/>
      <c r="KJ16" s="71"/>
      <c r="KK16" s="71"/>
      <c r="KL16" s="71"/>
      <c r="KM16" s="71"/>
      <c r="KN16" s="71"/>
      <c r="KO16" s="71"/>
      <c r="KP16" s="71"/>
      <c r="KQ16" s="71"/>
      <c r="KR16" s="71"/>
      <c r="KS16" s="71"/>
      <c r="KT16" s="71"/>
      <c r="KU16" s="71"/>
      <c r="KV16" s="71"/>
      <c r="KW16" s="71"/>
      <c r="KX16" s="71"/>
      <c r="KY16" s="71"/>
      <c r="KZ16" s="71"/>
      <c r="LA16" s="71"/>
      <c r="LB16" s="71"/>
      <c r="LC16" s="71"/>
      <c r="LD16" s="71"/>
      <c r="LE16" s="71"/>
      <c r="LF16" s="71"/>
      <c r="LG16" s="71"/>
      <c r="LH16" s="71"/>
      <c r="LI16" s="71"/>
      <c r="LJ16" s="71"/>
      <c r="LK16" s="71"/>
      <c r="LL16" s="71"/>
      <c r="LM16" s="71"/>
      <c r="LN16" s="71"/>
      <c r="LO16" s="71"/>
      <c r="LP16" s="71"/>
      <c r="LQ16" s="71"/>
      <c r="LR16" s="71"/>
      <c r="LS16" s="71"/>
      <c r="LT16" s="71"/>
      <c r="LU16" s="71"/>
      <c r="LV16" s="71"/>
      <c r="LW16" s="71"/>
      <c r="LX16" s="71"/>
      <c r="LY16" s="71"/>
      <c r="LZ16" s="71"/>
      <c r="MA16" s="71"/>
      <c r="MB16" s="71"/>
      <c r="MC16" s="71"/>
      <c r="MD16" s="71"/>
      <c r="ME16" s="71"/>
      <c r="MF16" s="71"/>
      <c r="MG16" s="71"/>
      <c r="MH16" s="71"/>
      <c r="MI16" s="71"/>
      <c r="MJ16" s="71"/>
      <c r="MK16" s="71"/>
      <c r="ML16" s="71"/>
      <c r="MM16" s="71"/>
      <c r="MN16" s="71"/>
      <c r="MO16" s="71"/>
      <c r="MP16" s="71"/>
      <c r="MQ16" s="71"/>
      <c r="MR16" s="71"/>
      <c r="MS16" s="71"/>
      <c r="MT16" s="71"/>
      <c r="MU16" s="71"/>
      <c r="MV16" s="71"/>
      <c r="MW16" s="71"/>
      <c r="MX16" s="71"/>
      <c r="MY16" s="71"/>
      <c r="MZ16" s="71"/>
      <c r="NA16" s="71"/>
      <c r="NB16" s="71"/>
      <c r="NC16" s="71"/>
      <c r="ND16" s="71"/>
      <c r="NE16" s="71"/>
      <c r="NF16" s="71"/>
      <c r="NG16" s="71"/>
      <c r="NH16" s="71"/>
      <c r="NI16" s="71"/>
      <c r="NJ16" s="71"/>
      <c r="NK16" s="71"/>
      <c r="NL16" s="71"/>
      <c r="NM16" s="71"/>
      <c r="NN16" s="71"/>
      <c r="NO16" s="71"/>
      <c r="NP16" s="71"/>
      <c r="NQ16" s="71"/>
      <c r="NR16" s="71"/>
      <c r="NS16" s="71"/>
      <c r="NT16" s="71"/>
      <c r="NU16" s="71"/>
      <c r="NV16" s="71"/>
      <c r="NW16" s="71"/>
      <c r="NX16" s="71"/>
      <c r="NY16" s="71"/>
      <c r="NZ16" s="71"/>
      <c r="OA16" s="71"/>
      <c r="OB16" s="71"/>
      <c r="OC16" s="71"/>
      <c r="OD16" s="71"/>
      <c r="OE16" s="71"/>
      <c r="OF16" s="71"/>
      <c r="OG16" s="71"/>
      <c r="OH16" s="71"/>
      <c r="OI16" s="71"/>
      <c r="OJ16" s="71"/>
      <c r="OK16" s="71"/>
      <c r="OL16" s="71"/>
      <c r="OM16" s="71"/>
      <c r="ON16" s="71"/>
      <c r="OO16" s="71"/>
      <c r="OP16" s="71"/>
      <c r="OQ16" s="71"/>
      <c r="OR16" s="71"/>
      <c r="OS16" s="71"/>
      <c r="OT16" s="71"/>
      <c r="OU16" s="71"/>
      <c r="OV16" s="71"/>
      <c r="OW16" s="71"/>
      <c r="OX16" s="71"/>
      <c r="OY16" s="71"/>
      <c r="OZ16" s="71"/>
      <c r="PA16" s="71"/>
      <c r="PB16" s="71"/>
      <c r="PC16" s="71"/>
      <c r="PD16" s="71"/>
      <c r="PE16" s="71"/>
      <c r="PF16" s="71"/>
      <c r="PG16" s="71"/>
      <c r="PH16" s="71"/>
      <c r="PI16" s="71"/>
      <c r="PJ16" s="71"/>
      <c r="PK16" s="71"/>
      <c r="PL16" s="71"/>
      <c r="PM16" s="71"/>
      <c r="PN16" s="71"/>
      <c r="PO16" s="71"/>
      <c r="PP16" s="71"/>
      <c r="PQ16" s="71"/>
      <c r="PR16" s="71"/>
      <c r="PS16" s="71"/>
      <c r="PT16" s="71"/>
      <c r="PU16" s="71"/>
      <c r="PV16" s="71"/>
      <c r="PW16" s="71"/>
      <c r="PX16" s="71"/>
      <c r="PY16" s="71"/>
      <c r="PZ16" s="71"/>
      <c r="QA16" s="71"/>
      <c r="QB16" s="71"/>
      <c r="QC16" s="71"/>
      <c r="QD16" s="71"/>
      <c r="QE16" s="71"/>
      <c r="QF16" s="71"/>
      <c r="QG16" s="71"/>
      <c r="QH16" s="71"/>
      <c r="QI16" s="71"/>
      <c r="QJ16" s="71"/>
      <c r="QK16" s="71"/>
      <c r="QL16" s="71"/>
      <c r="QM16" s="71"/>
      <c r="QN16" s="71"/>
      <c r="QO16" s="71"/>
      <c r="QP16" s="71"/>
      <c r="QQ16" s="71"/>
      <c r="QR16" s="71"/>
      <c r="QS16" s="71"/>
      <c r="QT16" s="71"/>
      <c r="QU16" s="71"/>
      <c r="QV16" s="71"/>
      <c r="QW16" s="71"/>
      <c r="QX16" s="71"/>
      <c r="QY16" s="71"/>
      <c r="QZ16" s="71"/>
      <c r="RA16" s="71"/>
      <c r="RB16" s="71"/>
      <c r="RC16" s="71"/>
      <c r="RD16" s="71"/>
      <c r="RE16" s="71"/>
      <c r="RF16" s="71"/>
      <c r="RG16" s="71"/>
      <c r="RH16" s="71"/>
      <c r="RI16" s="71"/>
      <c r="RJ16" s="71"/>
      <c r="RK16" s="71"/>
      <c r="RL16" s="71"/>
      <c r="RM16" s="71"/>
      <c r="RN16" s="71"/>
      <c r="RO16" s="71"/>
      <c r="RP16" s="71"/>
      <c r="RQ16" s="71"/>
      <c r="RR16" s="71"/>
      <c r="RS16" s="71"/>
      <c r="RT16" s="71"/>
      <c r="RU16" s="71"/>
      <c r="RV16" s="71"/>
      <c r="RW16" s="71"/>
      <c r="RX16" s="71"/>
      <c r="RY16" s="71"/>
      <c r="RZ16" s="71"/>
      <c r="SA16" s="71"/>
      <c r="SB16" s="71"/>
      <c r="SC16" s="71"/>
      <c r="SD16" s="71"/>
      <c r="SE16" s="71"/>
      <c r="SF16" s="71"/>
      <c r="SG16" s="71"/>
      <c r="SH16" s="71"/>
      <c r="SI16" s="71"/>
      <c r="SJ16" s="71"/>
      <c r="SK16" s="71"/>
      <c r="SL16" s="71"/>
      <c r="SM16" s="71"/>
      <c r="SN16" s="71"/>
      <c r="SO16" s="71"/>
      <c r="SP16" s="71"/>
      <c r="SQ16" s="71"/>
      <c r="SR16" s="71"/>
      <c r="SS16" s="71"/>
      <c r="ST16" s="71"/>
      <c r="SU16" s="71"/>
      <c r="SV16" s="71"/>
      <c r="SW16" s="71"/>
      <c r="SX16" s="71"/>
      <c r="SY16" s="71"/>
      <c r="SZ16" s="71"/>
      <c r="TA16" s="71"/>
      <c r="TB16" s="71"/>
      <c r="TC16" s="71"/>
      <c r="TD16" s="71"/>
      <c r="TE16" s="71"/>
      <c r="TF16" s="71"/>
      <c r="TG16" s="71"/>
      <c r="TH16" s="71"/>
      <c r="TI16" s="71"/>
      <c r="TJ16" s="71"/>
      <c r="TK16" s="71"/>
      <c r="TL16" s="71"/>
      <c r="TM16" s="71"/>
      <c r="TN16" s="71"/>
      <c r="TO16" s="71"/>
      <c r="TP16" s="71"/>
      <c r="TQ16" s="71"/>
      <c r="TR16" s="71"/>
      <c r="TS16" s="71"/>
      <c r="TT16" s="71"/>
      <c r="TU16" s="71"/>
      <c r="TV16" s="71"/>
      <c r="TW16" s="71"/>
      <c r="TX16" s="71"/>
      <c r="TY16" s="71"/>
      <c r="TZ16" s="71"/>
      <c r="UA16" s="71"/>
      <c r="UB16" s="71"/>
      <c r="UC16" s="71"/>
      <c r="UD16" s="71"/>
      <c r="UE16" s="71"/>
      <c r="UF16" s="71"/>
      <c r="UG16" s="71"/>
      <c r="UH16" s="71"/>
      <c r="UI16" s="71"/>
      <c r="UJ16" s="71"/>
      <c r="UK16" s="71"/>
      <c r="UL16" s="71"/>
      <c r="UM16" s="71"/>
      <c r="UN16" s="71"/>
      <c r="UO16" s="71"/>
      <c r="UP16" s="71"/>
      <c r="UQ16" s="71"/>
      <c r="UR16" s="71"/>
      <c r="US16" s="71"/>
      <c r="UT16" s="71"/>
      <c r="UU16" s="71"/>
      <c r="UV16" s="71"/>
      <c r="UW16" s="71"/>
      <c r="UX16" s="71"/>
      <c r="UY16" s="71"/>
      <c r="UZ16" s="71"/>
      <c r="VA16" s="71"/>
      <c r="VB16" s="71"/>
      <c r="VC16" s="71"/>
      <c r="VD16" s="71"/>
      <c r="VE16" s="71"/>
      <c r="VF16" s="71"/>
      <c r="VG16" s="71"/>
      <c r="VH16" s="71"/>
      <c r="VI16" s="71"/>
      <c r="VJ16" s="71"/>
      <c r="VK16" s="71"/>
      <c r="VL16" s="71"/>
      <c r="VM16" s="71"/>
      <c r="VN16" s="71"/>
      <c r="VO16" s="71"/>
      <c r="VP16" s="71"/>
      <c r="VQ16" s="71"/>
      <c r="VR16" s="71"/>
      <c r="VS16" s="71"/>
      <c r="VT16" s="71"/>
      <c r="VU16" s="71"/>
      <c r="VV16" s="71"/>
      <c r="VW16" s="71"/>
      <c r="VX16" s="71"/>
      <c r="VY16" s="71"/>
      <c r="VZ16" s="71"/>
      <c r="WA16" s="71"/>
      <c r="WB16" s="71"/>
      <c r="WC16" s="71"/>
      <c r="WD16" s="71"/>
      <c r="WE16" s="71"/>
      <c r="WF16" s="71"/>
      <c r="WG16" s="71"/>
      <c r="WH16" s="71"/>
      <c r="WI16" s="71"/>
      <c r="WJ16" s="71"/>
      <c r="WK16" s="71"/>
      <c r="WL16" s="71"/>
      <c r="WM16" s="71"/>
      <c r="WN16" s="71"/>
      <c r="WO16" s="71"/>
      <c r="WP16" s="71"/>
      <c r="WQ16" s="71"/>
      <c r="WR16" s="71"/>
      <c r="WS16" s="71"/>
      <c r="WT16" s="71"/>
      <c r="WU16" s="71"/>
      <c r="WV16" s="71"/>
      <c r="WW16" s="71"/>
      <c r="WX16" s="71"/>
      <c r="WY16" s="71"/>
      <c r="WZ16" s="71"/>
      <c r="XA16" s="71"/>
      <c r="XB16" s="71"/>
      <c r="XC16" s="71"/>
      <c r="XD16" s="71"/>
      <c r="XE16" s="71"/>
      <c r="XF16" s="71"/>
      <c r="XG16" s="71"/>
      <c r="XH16" s="71"/>
      <c r="XI16" s="71"/>
      <c r="XJ16" s="71"/>
      <c r="XK16" s="71"/>
      <c r="XL16" s="71"/>
      <c r="XM16" s="71"/>
      <c r="XN16" s="71"/>
      <c r="XO16" s="71"/>
      <c r="XP16" s="71"/>
      <c r="XQ16" s="71"/>
      <c r="XR16" s="71"/>
      <c r="XS16" s="71"/>
      <c r="XT16" s="71"/>
      <c r="XU16" s="71"/>
      <c r="XV16" s="71"/>
      <c r="XW16" s="71"/>
      <c r="XX16" s="71"/>
      <c r="XY16" s="71"/>
      <c r="XZ16" s="71"/>
      <c r="YA16" s="71"/>
      <c r="YB16" s="71"/>
      <c r="YC16" s="71"/>
      <c r="YD16" s="71"/>
      <c r="YE16" s="71"/>
      <c r="YF16" s="71"/>
      <c r="YG16" s="71"/>
      <c r="YH16" s="71"/>
      <c r="YI16" s="71"/>
      <c r="YJ16" s="71"/>
      <c r="YK16" s="71"/>
      <c r="YL16" s="71"/>
      <c r="YM16" s="71"/>
      <c r="YN16" s="71"/>
      <c r="YO16" s="71"/>
      <c r="YP16" s="71"/>
      <c r="YQ16" s="71"/>
      <c r="YR16" s="71"/>
      <c r="YS16" s="71"/>
      <c r="YT16" s="71"/>
      <c r="YU16" s="71"/>
      <c r="YV16" s="71"/>
      <c r="YW16" s="71"/>
      <c r="YX16" s="71"/>
      <c r="YY16" s="71"/>
      <c r="YZ16" s="71"/>
      <c r="ZA16" s="71"/>
      <c r="ZB16" s="71"/>
      <c r="ZC16" s="71"/>
      <c r="ZD16" s="71"/>
      <c r="ZE16" s="71"/>
      <c r="ZF16" s="71"/>
      <c r="ZG16" s="71"/>
      <c r="ZH16" s="71"/>
      <c r="ZI16" s="71"/>
      <c r="ZJ16" s="71"/>
      <c r="ZK16" s="71"/>
      <c r="ZL16" s="71"/>
      <c r="ZM16" s="71"/>
      <c r="ZN16" s="71"/>
      <c r="ZO16" s="71"/>
      <c r="ZP16" s="71"/>
      <c r="ZQ16" s="71"/>
      <c r="ZR16" s="71"/>
      <c r="ZS16" s="71"/>
      <c r="ZT16" s="71"/>
      <c r="ZU16" s="71"/>
      <c r="ZV16" s="71"/>
      <c r="ZW16" s="71"/>
      <c r="ZX16" s="71"/>
      <c r="ZY16" s="71"/>
      <c r="ZZ16" s="71"/>
      <c r="AAA16" s="71"/>
      <c r="AAB16" s="71"/>
      <c r="AAC16" s="71"/>
      <c r="AAD16" s="71"/>
      <c r="AAE16" s="71"/>
      <c r="AAF16" s="71"/>
    </row>
    <row r="17" spans="1:708" s="79" customFormat="1" ht="54" customHeight="1" x14ac:dyDescent="0.25">
      <c r="A17" s="491"/>
      <c r="B17" s="566"/>
      <c r="C17" s="568"/>
      <c r="D17" s="568"/>
      <c r="E17" s="568"/>
      <c r="F17" s="568"/>
      <c r="G17" s="568"/>
      <c r="H17" s="568"/>
      <c r="I17" s="578"/>
      <c r="J17" s="390"/>
      <c r="K17" s="390"/>
      <c r="L17" s="390"/>
      <c r="M17" s="390"/>
      <c r="N17" s="390"/>
      <c r="O17" s="390"/>
      <c r="P17" s="389"/>
      <c r="Q17" s="73" t="s">
        <v>121</v>
      </c>
      <c r="R17" s="73" t="s">
        <v>122</v>
      </c>
      <c r="S17" s="74" t="s">
        <v>74</v>
      </c>
      <c r="T17" s="74"/>
      <c r="U17" s="85">
        <v>0.89</v>
      </c>
      <c r="V17" s="575"/>
      <c r="W17" s="570"/>
      <c r="X17" s="75" t="s">
        <v>102</v>
      </c>
      <c r="Y17" s="392"/>
      <c r="Z17" s="391"/>
      <c r="AA17" s="392"/>
      <c r="AB17" s="391"/>
      <c r="AC17" s="76">
        <f>0/3</f>
        <v>0</v>
      </c>
      <c r="AD17" s="85">
        <f t="shared" si="0"/>
        <v>0.89</v>
      </c>
      <c r="AE17" s="76">
        <f>+AC17/AD17</f>
        <v>0</v>
      </c>
      <c r="AF17" s="74" t="s">
        <v>123</v>
      </c>
      <c r="AG17" s="563"/>
      <c r="AH17" s="562"/>
      <c r="AI17" s="563"/>
      <c r="AJ17" s="562"/>
      <c r="AK17" s="78">
        <v>0</v>
      </c>
      <c r="AL17" s="86">
        <v>0.89</v>
      </c>
      <c r="AM17" s="78">
        <v>0</v>
      </c>
      <c r="AN17" s="77" t="s">
        <v>124</v>
      </c>
      <c r="AO17" s="563"/>
      <c r="AP17" s="562"/>
      <c r="AQ17" s="563"/>
      <c r="AR17" s="562"/>
      <c r="AS17" s="78">
        <f>0/9</f>
        <v>0</v>
      </c>
      <c r="AT17" s="86">
        <f t="shared" si="1"/>
        <v>0.89</v>
      </c>
      <c r="AU17" s="78">
        <f>+AS17/AT17</f>
        <v>0</v>
      </c>
      <c r="AV17" s="77" t="s">
        <v>125</v>
      </c>
      <c r="AW17" s="71"/>
      <c r="AX17" s="71"/>
      <c r="AY17" s="71"/>
      <c r="AZ17" s="71"/>
      <c r="BA17" s="71"/>
      <c r="BB17" s="71"/>
      <c r="BC17" s="71"/>
      <c r="BD17" s="71"/>
      <c r="BE17" s="71"/>
      <c r="BF17" s="71"/>
      <c r="BG17" s="71"/>
      <c r="BH17" s="71"/>
      <c r="BI17" s="71"/>
      <c r="BJ17" s="71"/>
      <c r="BK17" s="71"/>
      <c r="BL17" s="71"/>
      <c r="BM17" s="71"/>
      <c r="BN17" s="71"/>
      <c r="BO17" s="71"/>
      <c r="BP17" s="71"/>
      <c r="BQ17" s="71"/>
      <c r="BR17" s="71"/>
      <c r="BS17" s="71"/>
      <c r="BT17" s="71"/>
      <c r="BU17" s="71"/>
      <c r="BV17" s="71"/>
      <c r="BW17" s="71"/>
      <c r="BX17" s="71"/>
      <c r="BY17" s="71"/>
      <c r="BZ17" s="71"/>
      <c r="CA17" s="71"/>
      <c r="CB17" s="71"/>
      <c r="CC17" s="71"/>
      <c r="CD17" s="71"/>
      <c r="CE17" s="71"/>
      <c r="CF17" s="71"/>
      <c r="CG17" s="71"/>
      <c r="CH17" s="71"/>
      <c r="CI17" s="71"/>
      <c r="CJ17" s="71"/>
      <c r="CK17" s="71"/>
      <c r="CL17" s="71"/>
      <c r="CM17" s="71"/>
      <c r="CN17" s="71"/>
      <c r="CO17" s="71"/>
      <c r="CP17" s="71"/>
      <c r="CQ17" s="71"/>
      <c r="CR17" s="71"/>
      <c r="CS17" s="71"/>
      <c r="CT17" s="71"/>
      <c r="CU17" s="71"/>
      <c r="CV17" s="71"/>
      <c r="CW17" s="71"/>
      <c r="CX17" s="71"/>
      <c r="CY17" s="71"/>
      <c r="CZ17" s="71"/>
      <c r="DA17" s="71"/>
      <c r="DB17" s="71"/>
      <c r="DC17" s="71"/>
      <c r="DD17" s="71"/>
      <c r="DE17" s="71"/>
      <c r="DF17" s="71"/>
      <c r="DG17" s="71"/>
      <c r="DH17" s="71"/>
      <c r="DI17" s="71"/>
      <c r="DJ17" s="71"/>
      <c r="DK17" s="71"/>
      <c r="DL17" s="71"/>
      <c r="DM17" s="71"/>
      <c r="DN17" s="71"/>
      <c r="DO17" s="71"/>
      <c r="DP17" s="71"/>
      <c r="DQ17" s="71"/>
      <c r="DR17" s="71"/>
      <c r="DS17" s="71"/>
      <c r="DT17" s="71"/>
      <c r="DU17" s="71"/>
      <c r="DV17" s="71"/>
      <c r="DW17" s="71"/>
      <c r="DX17" s="71"/>
      <c r="DY17" s="71"/>
      <c r="DZ17" s="71"/>
      <c r="EA17" s="71"/>
      <c r="EB17" s="71"/>
      <c r="EC17" s="71"/>
      <c r="ED17" s="71"/>
      <c r="EE17" s="71"/>
      <c r="EF17" s="71"/>
      <c r="EG17" s="71"/>
      <c r="EH17" s="71"/>
      <c r="EI17" s="71"/>
      <c r="EJ17" s="71"/>
      <c r="EK17" s="71"/>
      <c r="EL17" s="71"/>
      <c r="EM17" s="71"/>
      <c r="EN17" s="71"/>
      <c r="EO17" s="71"/>
      <c r="EP17" s="71"/>
      <c r="EQ17" s="71"/>
      <c r="ER17" s="71"/>
      <c r="ES17" s="71"/>
      <c r="ET17" s="71"/>
      <c r="EU17" s="71"/>
      <c r="EV17" s="71"/>
      <c r="EW17" s="71"/>
      <c r="EX17" s="71"/>
      <c r="EY17" s="71"/>
      <c r="EZ17" s="71"/>
      <c r="FA17" s="71"/>
      <c r="FB17" s="71"/>
      <c r="FC17" s="71"/>
      <c r="FD17" s="71"/>
      <c r="FE17" s="71"/>
      <c r="FF17" s="71"/>
      <c r="FG17" s="71"/>
      <c r="FH17" s="71"/>
      <c r="FI17" s="71"/>
      <c r="FJ17" s="71"/>
      <c r="FK17" s="71"/>
      <c r="FL17" s="71"/>
      <c r="FM17" s="71"/>
      <c r="FN17" s="71"/>
      <c r="FO17" s="71"/>
      <c r="FP17" s="71"/>
      <c r="FQ17" s="71"/>
      <c r="FR17" s="71"/>
      <c r="FS17" s="71"/>
      <c r="FT17" s="71"/>
      <c r="FU17" s="71"/>
      <c r="FV17" s="71"/>
      <c r="FW17" s="71"/>
      <c r="FX17" s="71"/>
      <c r="FY17" s="71"/>
      <c r="FZ17" s="71"/>
      <c r="GA17" s="71"/>
      <c r="GB17" s="71"/>
      <c r="GC17" s="71"/>
      <c r="GD17" s="71"/>
      <c r="GE17" s="71"/>
      <c r="GF17" s="71"/>
      <c r="GG17" s="71"/>
      <c r="GH17" s="71"/>
      <c r="GI17" s="71"/>
      <c r="GJ17" s="71"/>
      <c r="GK17" s="71"/>
      <c r="GL17" s="71"/>
      <c r="GM17" s="71"/>
      <c r="GN17" s="71"/>
      <c r="GO17" s="71"/>
      <c r="GP17" s="71"/>
      <c r="GQ17" s="71"/>
      <c r="GR17" s="71"/>
      <c r="GS17" s="71"/>
      <c r="GT17" s="71"/>
      <c r="GU17" s="71"/>
      <c r="GV17" s="71"/>
      <c r="GW17" s="71"/>
      <c r="GX17" s="71"/>
      <c r="GY17" s="71"/>
      <c r="GZ17" s="71"/>
      <c r="HA17" s="71"/>
      <c r="HB17" s="71"/>
      <c r="HC17" s="71"/>
      <c r="HD17" s="71"/>
      <c r="HE17" s="71"/>
      <c r="HF17" s="71"/>
      <c r="HG17" s="71"/>
      <c r="HH17" s="71"/>
      <c r="HI17" s="71"/>
      <c r="HJ17" s="71"/>
      <c r="HK17" s="71"/>
      <c r="HL17" s="71"/>
      <c r="HM17" s="71"/>
      <c r="HN17" s="71"/>
      <c r="HO17" s="71"/>
      <c r="HP17" s="71"/>
      <c r="HQ17" s="71"/>
      <c r="HR17" s="71"/>
      <c r="HS17" s="71"/>
      <c r="HT17" s="71"/>
      <c r="HU17" s="71"/>
      <c r="HV17" s="71"/>
      <c r="HW17" s="71"/>
      <c r="HX17" s="71"/>
      <c r="HY17" s="71"/>
      <c r="HZ17" s="71"/>
      <c r="IA17" s="71"/>
      <c r="IB17" s="71"/>
      <c r="IC17" s="71"/>
      <c r="ID17" s="71"/>
      <c r="IE17" s="71"/>
      <c r="IF17" s="71"/>
      <c r="IG17" s="71"/>
      <c r="IH17" s="71"/>
      <c r="II17" s="71"/>
      <c r="IJ17" s="71"/>
      <c r="IK17" s="71"/>
      <c r="IL17" s="71"/>
      <c r="IM17" s="71"/>
      <c r="IN17" s="71"/>
      <c r="IO17" s="71"/>
      <c r="IP17" s="71"/>
      <c r="IQ17" s="71"/>
      <c r="IR17" s="71"/>
      <c r="IS17" s="71"/>
      <c r="IT17" s="71"/>
      <c r="IU17" s="71"/>
      <c r="IV17" s="71"/>
      <c r="IW17" s="71"/>
      <c r="IX17" s="71"/>
      <c r="IY17" s="71"/>
      <c r="IZ17" s="71"/>
      <c r="JA17" s="71"/>
      <c r="JB17" s="71"/>
      <c r="JC17" s="71"/>
      <c r="JD17" s="71"/>
      <c r="JE17" s="71"/>
      <c r="JF17" s="71"/>
      <c r="JG17" s="71"/>
      <c r="JH17" s="71"/>
      <c r="JI17" s="71"/>
      <c r="JJ17" s="71"/>
      <c r="JK17" s="71"/>
      <c r="JL17" s="71"/>
      <c r="JM17" s="71"/>
      <c r="JN17" s="71"/>
      <c r="JO17" s="71"/>
      <c r="JP17" s="71"/>
      <c r="JQ17" s="71"/>
      <c r="JR17" s="71"/>
      <c r="JS17" s="71"/>
      <c r="JT17" s="71"/>
      <c r="JU17" s="71"/>
      <c r="JV17" s="71"/>
      <c r="JW17" s="71"/>
      <c r="JX17" s="71"/>
      <c r="JY17" s="71"/>
      <c r="JZ17" s="71"/>
      <c r="KA17" s="71"/>
      <c r="KB17" s="71"/>
      <c r="KC17" s="71"/>
      <c r="KD17" s="71"/>
      <c r="KE17" s="71"/>
      <c r="KF17" s="71"/>
      <c r="KG17" s="71"/>
      <c r="KH17" s="71"/>
      <c r="KI17" s="71"/>
      <c r="KJ17" s="71"/>
      <c r="KK17" s="71"/>
      <c r="KL17" s="71"/>
      <c r="KM17" s="71"/>
      <c r="KN17" s="71"/>
      <c r="KO17" s="71"/>
      <c r="KP17" s="71"/>
      <c r="KQ17" s="71"/>
      <c r="KR17" s="71"/>
      <c r="KS17" s="71"/>
      <c r="KT17" s="71"/>
      <c r="KU17" s="71"/>
      <c r="KV17" s="71"/>
      <c r="KW17" s="71"/>
      <c r="KX17" s="71"/>
      <c r="KY17" s="71"/>
      <c r="KZ17" s="71"/>
      <c r="LA17" s="71"/>
      <c r="LB17" s="71"/>
      <c r="LC17" s="71"/>
      <c r="LD17" s="71"/>
      <c r="LE17" s="71"/>
      <c r="LF17" s="71"/>
      <c r="LG17" s="71"/>
      <c r="LH17" s="71"/>
      <c r="LI17" s="71"/>
      <c r="LJ17" s="71"/>
      <c r="LK17" s="71"/>
      <c r="LL17" s="71"/>
      <c r="LM17" s="71"/>
      <c r="LN17" s="71"/>
      <c r="LO17" s="71"/>
      <c r="LP17" s="71"/>
      <c r="LQ17" s="71"/>
      <c r="LR17" s="71"/>
      <c r="LS17" s="71"/>
      <c r="LT17" s="71"/>
      <c r="LU17" s="71"/>
      <c r="LV17" s="71"/>
      <c r="LW17" s="71"/>
      <c r="LX17" s="71"/>
      <c r="LY17" s="71"/>
      <c r="LZ17" s="71"/>
      <c r="MA17" s="71"/>
      <c r="MB17" s="71"/>
      <c r="MC17" s="71"/>
      <c r="MD17" s="71"/>
      <c r="ME17" s="71"/>
      <c r="MF17" s="71"/>
      <c r="MG17" s="71"/>
      <c r="MH17" s="71"/>
      <c r="MI17" s="71"/>
      <c r="MJ17" s="71"/>
      <c r="MK17" s="71"/>
      <c r="ML17" s="71"/>
      <c r="MM17" s="71"/>
      <c r="MN17" s="71"/>
      <c r="MO17" s="71"/>
      <c r="MP17" s="71"/>
      <c r="MQ17" s="71"/>
      <c r="MR17" s="71"/>
      <c r="MS17" s="71"/>
      <c r="MT17" s="71"/>
      <c r="MU17" s="71"/>
      <c r="MV17" s="71"/>
      <c r="MW17" s="71"/>
      <c r="MX17" s="71"/>
      <c r="MY17" s="71"/>
      <c r="MZ17" s="71"/>
      <c r="NA17" s="71"/>
      <c r="NB17" s="71"/>
      <c r="NC17" s="71"/>
      <c r="ND17" s="71"/>
      <c r="NE17" s="71"/>
      <c r="NF17" s="71"/>
      <c r="NG17" s="71"/>
      <c r="NH17" s="71"/>
      <c r="NI17" s="71"/>
      <c r="NJ17" s="71"/>
      <c r="NK17" s="71"/>
      <c r="NL17" s="71"/>
      <c r="NM17" s="71"/>
      <c r="NN17" s="71"/>
      <c r="NO17" s="71"/>
      <c r="NP17" s="71"/>
      <c r="NQ17" s="71"/>
      <c r="NR17" s="71"/>
      <c r="NS17" s="71"/>
      <c r="NT17" s="71"/>
      <c r="NU17" s="71"/>
      <c r="NV17" s="71"/>
      <c r="NW17" s="71"/>
      <c r="NX17" s="71"/>
      <c r="NY17" s="71"/>
      <c r="NZ17" s="71"/>
      <c r="OA17" s="71"/>
      <c r="OB17" s="71"/>
      <c r="OC17" s="71"/>
      <c r="OD17" s="71"/>
      <c r="OE17" s="71"/>
      <c r="OF17" s="71"/>
      <c r="OG17" s="71"/>
      <c r="OH17" s="71"/>
      <c r="OI17" s="71"/>
      <c r="OJ17" s="71"/>
      <c r="OK17" s="71"/>
      <c r="OL17" s="71"/>
      <c r="OM17" s="71"/>
      <c r="ON17" s="71"/>
      <c r="OO17" s="71"/>
      <c r="OP17" s="71"/>
      <c r="OQ17" s="71"/>
      <c r="OR17" s="71"/>
      <c r="OS17" s="71"/>
      <c r="OT17" s="71"/>
      <c r="OU17" s="71"/>
      <c r="OV17" s="71"/>
      <c r="OW17" s="71"/>
      <c r="OX17" s="71"/>
      <c r="OY17" s="71"/>
      <c r="OZ17" s="71"/>
      <c r="PA17" s="71"/>
      <c r="PB17" s="71"/>
      <c r="PC17" s="71"/>
      <c r="PD17" s="71"/>
      <c r="PE17" s="71"/>
      <c r="PF17" s="71"/>
      <c r="PG17" s="71"/>
      <c r="PH17" s="71"/>
      <c r="PI17" s="71"/>
      <c r="PJ17" s="71"/>
      <c r="PK17" s="71"/>
      <c r="PL17" s="71"/>
      <c r="PM17" s="71"/>
      <c r="PN17" s="71"/>
      <c r="PO17" s="71"/>
      <c r="PP17" s="71"/>
      <c r="PQ17" s="71"/>
      <c r="PR17" s="71"/>
      <c r="PS17" s="71"/>
      <c r="PT17" s="71"/>
      <c r="PU17" s="71"/>
      <c r="PV17" s="71"/>
      <c r="PW17" s="71"/>
      <c r="PX17" s="71"/>
      <c r="PY17" s="71"/>
      <c r="PZ17" s="71"/>
      <c r="QA17" s="71"/>
      <c r="QB17" s="71"/>
      <c r="QC17" s="71"/>
      <c r="QD17" s="71"/>
      <c r="QE17" s="71"/>
      <c r="QF17" s="71"/>
      <c r="QG17" s="71"/>
      <c r="QH17" s="71"/>
      <c r="QI17" s="71"/>
      <c r="QJ17" s="71"/>
      <c r="QK17" s="71"/>
      <c r="QL17" s="71"/>
      <c r="QM17" s="71"/>
      <c r="QN17" s="71"/>
      <c r="QO17" s="71"/>
      <c r="QP17" s="71"/>
      <c r="QQ17" s="71"/>
      <c r="QR17" s="71"/>
      <c r="QS17" s="71"/>
      <c r="QT17" s="71"/>
      <c r="QU17" s="71"/>
      <c r="QV17" s="71"/>
      <c r="QW17" s="71"/>
      <c r="QX17" s="71"/>
      <c r="QY17" s="71"/>
      <c r="QZ17" s="71"/>
      <c r="RA17" s="71"/>
      <c r="RB17" s="71"/>
      <c r="RC17" s="71"/>
      <c r="RD17" s="71"/>
      <c r="RE17" s="71"/>
      <c r="RF17" s="71"/>
      <c r="RG17" s="71"/>
      <c r="RH17" s="71"/>
      <c r="RI17" s="71"/>
      <c r="RJ17" s="71"/>
      <c r="RK17" s="71"/>
      <c r="RL17" s="71"/>
      <c r="RM17" s="71"/>
      <c r="RN17" s="71"/>
      <c r="RO17" s="71"/>
      <c r="RP17" s="71"/>
      <c r="RQ17" s="71"/>
      <c r="RR17" s="71"/>
      <c r="RS17" s="71"/>
      <c r="RT17" s="71"/>
      <c r="RU17" s="71"/>
      <c r="RV17" s="71"/>
      <c r="RW17" s="71"/>
      <c r="RX17" s="71"/>
      <c r="RY17" s="71"/>
      <c r="RZ17" s="71"/>
      <c r="SA17" s="71"/>
      <c r="SB17" s="71"/>
      <c r="SC17" s="71"/>
      <c r="SD17" s="71"/>
      <c r="SE17" s="71"/>
      <c r="SF17" s="71"/>
      <c r="SG17" s="71"/>
      <c r="SH17" s="71"/>
      <c r="SI17" s="71"/>
      <c r="SJ17" s="71"/>
      <c r="SK17" s="71"/>
      <c r="SL17" s="71"/>
      <c r="SM17" s="71"/>
      <c r="SN17" s="71"/>
      <c r="SO17" s="71"/>
      <c r="SP17" s="71"/>
      <c r="SQ17" s="71"/>
      <c r="SR17" s="71"/>
      <c r="SS17" s="71"/>
      <c r="ST17" s="71"/>
      <c r="SU17" s="71"/>
      <c r="SV17" s="71"/>
      <c r="SW17" s="71"/>
      <c r="SX17" s="71"/>
      <c r="SY17" s="71"/>
      <c r="SZ17" s="71"/>
      <c r="TA17" s="71"/>
      <c r="TB17" s="71"/>
      <c r="TC17" s="71"/>
      <c r="TD17" s="71"/>
      <c r="TE17" s="71"/>
      <c r="TF17" s="71"/>
      <c r="TG17" s="71"/>
      <c r="TH17" s="71"/>
      <c r="TI17" s="71"/>
      <c r="TJ17" s="71"/>
      <c r="TK17" s="71"/>
      <c r="TL17" s="71"/>
      <c r="TM17" s="71"/>
      <c r="TN17" s="71"/>
      <c r="TO17" s="71"/>
      <c r="TP17" s="71"/>
      <c r="TQ17" s="71"/>
      <c r="TR17" s="71"/>
      <c r="TS17" s="71"/>
      <c r="TT17" s="71"/>
      <c r="TU17" s="71"/>
      <c r="TV17" s="71"/>
      <c r="TW17" s="71"/>
      <c r="TX17" s="71"/>
      <c r="TY17" s="71"/>
      <c r="TZ17" s="71"/>
      <c r="UA17" s="71"/>
      <c r="UB17" s="71"/>
      <c r="UC17" s="71"/>
      <c r="UD17" s="71"/>
      <c r="UE17" s="71"/>
      <c r="UF17" s="71"/>
      <c r="UG17" s="71"/>
      <c r="UH17" s="71"/>
      <c r="UI17" s="71"/>
      <c r="UJ17" s="71"/>
      <c r="UK17" s="71"/>
      <c r="UL17" s="71"/>
      <c r="UM17" s="71"/>
      <c r="UN17" s="71"/>
      <c r="UO17" s="71"/>
      <c r="UP17" s="71"/>
      <c r="UQ17" s="71"/>
      <c r="UR17" s="71"/>
      <c r="US17" s="71"/>
      <c r="UT17" s="71"/>
      <c r="UU17" s="71"/>
      <c r="UV17" s="71"/>
      <c r="UW17" s="71"/>
      <c r="UX17" s="71"/>
      <c r="UY17" s="71"/>
      <c r="UZ17" s="71"/>
      <c r="VA17" s="71"/>
      <c r="VB17" s="71"/>
      <c r="VC17" s="71"/>
      <c r="VD17" s="71"/>
      <c r="VE17" s="71"/>
      <c r="VF17" s="71"/>
      <c r="VG17" s="71"/>
      <c r="VH17" s="71"/>
      <c r="VI17" s="71"/>
      <c r="VJ17" s="71"/>
      <c r="VK17" s="71"/>
      <c r="VL17" s="71"/>
      <c r="VM17" s="71"/>
      <c r="VN17" s="71"/>
      <c r="VO17" s="71"/>
      <c r="VP17" s="71"/>
      <c r="VQ17" s="71"/>
      <c r="VR17" s="71"/>
      <c r="VS17" s="71"/>
      <c r="VT17" s="71"/>
      <c r="VU17" s="71"/>
      <c r="VV17" s="71"/>
      <c r="VW17" s="71"/>
      <c r="VX17" s="71"/>
      <c r="VY17" s="71"/>
      <c r="VZ17" s="71"/>
      <c r="WA17" s="71"/>
      <c r="WB17" s="71"/>
      <c r="WC17" s="71"/>
      <c r="WD17" s="71"/>
      <c r="WE17" s="71"/>
      <c r="WF17" s="71"/>
      <c r="WG17" s="71"/>
      <c r="WH17" s="71"/>
      <c r="WI17" s="71"/>
      <c r="WJ17" s="71"/>
      <c r="WK17" s="71"/>
      <c r="WL17" s="71"/>
      <c r="WM17" s="71"/>
      <c r="WN17" s="71"/>
      <c r="WO17" s="71"/>
      <c r="WP17" s="71"/>
      <c r="WQ17" s="71"/>
      <c r="WR17" s="71"/>
      <c r="WS17" s="71"/>
      <c r="WT17" s="71"/>
      <c r="WU17" s="71"/>
      <c r="WV17" s="71"/>
      <c r="WW17" s="71"/>
      <c r="WX17" s="71"/>
      <c r="WY17" s="71"/>
      <c r="WZ17" s="71"/>
      <c r="XA17" s="71"/>
      <c r="XB17" s="71"/>
      <c r="XC17" s="71"/>
      <c r="XD17" s="71"/>
      <c r="XE17" s="71"/>
      <c r="XF17" s="71"/>
      <c r="XG17" s="71"/>
      <c r="XH17" s="71"/>
      <c r="XI17" s="71"/>
      <c r="XJ17" s="71"/>
      <c r="XK17" s="71"/>
      <c r="XL17" s="71"/>
      <c r="XM17" s="71"/>
      <c r="XN17" s="71"/>
      <c r="XO17" s="71"/>
      <c r="XP17" s="71"/>
      <c r="XQ17" s="71"/>
      <c r="XR17" s="71"/>
      <c r="XS17" s="71"/>
      <c r="XT17" s="71"/>
      <c r="XU17" s="71"/>
      <c r="XV17" s="71"/>
      <c r="XW17" s="71"/>
      <c r="XX17" s="71"/>
      <c r="XY17" s="71"/>
      <c r="XZ17" s="71"/>
      <c r="YA17" s="71"/>
      <c r="YB17" s="71"/>
      <c r="YC17" s="71"/>
      <c r="YD17" s="71"/>
      <c r="YE17" s="71"/>
      <c r="YF17" s="71"/>
      <c r="YG17" s="71"/>
      <c r="YH17" s="71"/>
      <c r="YI17" s="71"/>
      <c r="YJ17" s="71"/>
      <c r="YK17" s="71"/>
      <c r="YL17" s="71"/>
      <c r="YM17" s="71"/>
      <c r="YN17" s="71"/>
      <c r="YO17" s="71"/>
      <c r="YP17" s="71"/>
      <c r="YQ17" s="71"/>
      <c r="YR17" s="71"/>
      <c r="YS17" s="71"/>
      <c r="YT17" s="71"/>
      <c r="YU17" s="71"/>
      <c r="YV17" s="71"/>
      <c r="YW17" s="71"/>
      <c r="YX17" s="71"/>
      <c r="YY17" s="71"/>
      <c r="YZ17" s="71"/>
      <c r="ZA17" s="71"/>
      <c r="ZB17" s="71"/>
      <c r="ZC17" s="71"/>
      <c r="ZD17" s="71"/>
      <c r="ZE17" s="71"/>
      <c r="ZF17" s="71"/>
      <c r="ZG17" s="71"/>
      <c r="ZH17" s="71"/>
      <c r="ZI17" s="71"/>
      <c r="ZJ17" s="71"/>
      <c r="ZK17" s="71"/>
      <c r="ZL17" s="71"/>
      <c r="ZM17" s="71"/>
      <c r="ZN17" s="71"/>
      <c r="ZO17" s="71"/>
      <c r="ZP17" s="71"/>
      <c r="ZQ17" s="71"/>
      <c r="ZR17" s="71"/>
      <c r="ZS17" s="71"/>
      <c r="ZT17" s="71"/>
      <c r="ZU17" s="71"/>
      <c r="ZV17" s="71"/>
      <c r="ZW17" s="71"/>
      <c r="ZX17" s="71"/>
      <c r="ZY17" s="71"/>
      <c r="ZZ17" s="71"/>
      <c r="AAA17" s="71"/>
      <c r="AAB17" s="71"/>
      <c r="AAC17" s="71"/>
      <c r="AAD17" s="71"/>
      <c r="AAE17" s="71"/>
      <c r="AAF17" s="71"/>
    </row>
    <row r="18" spans="1:708" s="33" customFormat="1" ht="54" customHeight="1" x14ac:dyDescent="0.25">
      <c r="A18" s="504" t="s">
        <v>43</v>
      </c>
      <c r="B18" s="505" t="s">
        <v>44</v>
      </c>
      <c r="C18" s="507" t="s">
        <v>45</v>
      </c>
      <c r="D18" s="507" t="s">
        <v>46</v>
      </c>
      <c r="E18" s="507" t="s">
        <v>47</v>
      </c>
      <c r="F18" s="507" t="s">
        <v>48</v>
      </c>
      <c r="G18" s="507" t="s">
        <v>49</v>
      </c>
      <c r="H18" s="507" t="s">
        <v>50</v>
      </c>
      <c r="I18" s="560" t="s">
        <v>78</v>
      </c>
      <c r="J18" s="391" t="s">
        <v>52</v>
      </c>
      <c r="K18" s="391" t="s">
        <v>101</v>
      </c>
      <c r="L18" s="391" t="s">
        <v>79</v>
      </c>
      <c r="M18" s="391" t="s">
        <v>80</v>
      </c>
      <c r="N18" s="391" t="s">
        <v>56</v>
      </c>
      <c r="O18" s="391"/>
      <c r="P18" s="391">
        <v>566</v>
      </c>
      <c r="Q18" s="66" t="s">
        <v>81</v>
      </c>
      <c r="R18" s="66" t="s">
        <v>82</v>
      </c>
      <c r="S18" s="87" t="s">
        <v>56</v>
      </c>
      <c r="T18" s="88"/>
      <c r="U18" s="87">
        <v>425</v>
      </c>
      <c r="V18" s="89">
        <v>12224188561</v>
      </c>
      <c r="W18" s="570"/>
      <c r="X18" s="26" t="s">
        <v>126</v>
      </c>
      <c r="Y18" s="390">
        <v>25</v>
      </c>
      <c r="Z18" s="390">
        <f>+P18</f>
        <v>566</v>
      </c>
      <c r="AA18" s="389">
        <f>Y18/Z18</f>
        <v>4.4169611307420496E-2</v>
      </c>
      <c r="AB18" s="390" t="s">
        <v>127</v>
      </c>
      <c r="AC18" s="87">
        <v>36</v>
      </c>
      <c r="AD18" s="87">
        <f t="shared" si="0"/>
        <v>425</v>
      </c>
      <c r="AE18" s="90">
        <f>+AC18/AD18</f>
        <v>8.4705882352941173E-2</v>
      </c>
      <c r="AF18" s="67" t="s">
        <v>128</v>
      </c>
      <c r="AG18" s="579">
        <v>40</v>
      </c>
      <c r="AH18" s="579">
        <v>566</v>
      </c>
      <c r="AI18" s="580">
        <v>7.0671378091872794E-2</v>
      </c>
      <c r="AJ18" s="579" t="s">
        <v>129</v>
      </c>
      <c r="AK18" s="91">
        <v>93</v>
      </c>
      <c r="AL18" s="91">
        <v>425</v>
      </c>
      <c r="AM18" s="92">
        <v>0.21882352941176469</v>
      </c>
      <c r="AN18" s="69" t="s">
        <v>130</v>
      </c>
      <c r="AO18" s="579">
        <v>66</v>
      </c>
      <c r="AP18" s="579">
        <f>+P18</f>
        <v>566</v>
      </c>
      <c r="AQ18" s="580">
        <f>AO18/AP18</f>
        <v>0.1166077738515901</v>
      </c>
      <c r="AR18" s="579" t="s">
        <v>131</v>
      </c>
      <c r="AS18" s="91">
        <v>129</v>
      </c>
      <c r="AT18" s="91">
        <f t="shared" si="1"/>
        <v>425</v>
      </c>
      <c r="AU18" s="92">
        <f>+AS18/AT18</f>
        <v>0.30352941176470588</v>
      </c>
      <c r="AV18" s="69" t="s">
        <v>132</v>
      </c>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c r="GU18" s="21"/>
      <c r="GV18" s="21"/>
      <c r="GW18" s="21"/>
      <c r="GX18" s="21"/>
      <c r="GY18" s="21"/>
      <c r="GZ18" s="21"/>
      <c r="HA18" s="21"/>
      <c r="HB18" s="21"/>
      <c r="HC18" s="21"/>
      <c r="HD18" s="21"/>
      <c r="HE18" s="21"/>
      <c r="HF18" s="21"/>
      <c r="HG18" s="21"/>
      <c r="HH18" s="21"/>
      <c r="HI18" s="21"/>
      <c r="HJ18" s="21"/>
      <c r="HK18" s="21"/>
      <c r="HL18" s="21"/>
      <c r="HM18" s="21"/>
      <c r="HN18" s="21"/>
      <c r="HO18" s="21"/>
      <c r="HP18" s="21"/>
      <c r="HQ18" s="21"/>
      <c r="HR18" s="21"/>
      <c r="HS18" s="21"/>
      <c r="HT18" s="21"/>
      <c r="HU18" s="21"/>
      <c r="HV18" s="21"/>
      <c r="HW18" s="21"/>
      <c r="HX18" s="21"/>
      <c r="HY18" s="21"/>
      <c r="HZ18" s="21"/>
      <c r="IA18" s="21"/>
      <c r="IB18" s="21"/>
      <c r="IC18" s="21"/>
      <c r="ID18" s="21"/>
      <c r="IE18" s="21"/>
      <c r="IF18" s="21"/>
      <c r="IG18" s="21"/>
      <c r="IH18" s="21"/>
      <c r="II18" s="21"/>
      <c r="IJ18" s="21"/>
      <c r="IK18" s="21"/>
      <c r="IL18" s="21"/>
      <c r="IM18" s="21"/>
      <c r="IN18" s="21"/>
      <c r="IO18" s="21"/>
      <c r="IP18" s="21"/>
      <c r="IQ18" s="21"/>
      <c r="IR18" s="21"/>
      <c r="IS18" s="21"/>
      <c r="IT18" s="21"/>
      <c r="IU18" s="21"/>
      <c r="IV18" s="21"/>
      <c r="IW18" s="21"/>
      <c r="IX18" s="21"/>
      <c r="IY18" s="21"/>
      <c r="IZ18" s="21"/>
      <c r="JA18" s="21"/>
      <c r="JB18" s="21"/>
      <c r="JC18" s="21"/>
      <c r="JD18" s="21"/>
      <c r="JE18" s="21"/>
      <c r="JF18" s="21"/>
      <c r="JG18" s="21"/>
      <c r="JH18" s="21"/>
      <c r="JI18" s="21"/>
      <c r="JJ18" s="21"/>
      <c r="JK18" s="21"/>
      <c r="JL18" s="21"/>
      <c r="JM18" s="21"/>
      <c r="JN18" s="21"/>
      <c r="JO18" s="21"/>
      <c r="JP18" s="21"/>
      <c r="JQ18" s="21"/>
      <c r="JR18" s="21"/>
      <c r="JS18" s="21"/>
      <c r="JT18" s="21"/>
      <c r="JU18" s="21"/>
      <c r="JV18" s="21"/>
      <c r="JW18" s="21"/>
      <c r="JX18" s="21"/>
      <c r="JY18" s="21"/>
      <c r="JZ18" s="21"/>
      <c r="KA18" s="21"/>
      <c r="KB18" s="21"/>
      <c r="KC18" s="21"/>
      <c r="KD18" s="21"/>
      <c r="KE18" s="21"/>
      <c r="KF18" s="21"/>
      <c r="KG18" s="21"/>
      <c r="KH18" s="21"/>
      <c r="KI18" s="21"/>
      <c r="KJ18" s="21"/>
      <c r="KK18" s="21"/>
      <c r="KL18" s="21"/>
      <c r="KM18" s="21"/>
      <c r="KN18" s="21"/>
      <c r="KO18" s="21"/>
      <c r="KP18" s="21"/>
      <c r="KQ18" s="21"/>
      <c r="KR18" s="21"/>
      <c r="KS18" s="21"/>
      <c r="KT18" s="21"/>
      <c r="KU18" s="21"/>
      <c r="KV18" s="21"/>
      <c r="KW18" s="21"/>
      <c r="KX18" s="21"/>
      <c r="KY18" s="21"/>
      <c r="KZ18" s="21"/>
      <c r="LA18" s="21"/>
      <c r="LB18" s="21"/>
      <c r="LC18" s="21"/>
      <c r="LD18" s="21"/>
      <c r="LE18" s="21"/>
      <c r="LF18" s="21"/>
      <c r="LG18" s="21"/>
      <c r="LH18" s="21"/>
      <c r="LI18" s="21"/>
      <c r="LJ18" s="21"/>
      <c r="LK18" s="21"/>
      <c r="LL18" s="21"/>
      <c r="LM18" s="21"/>
      <c r="LN18" s="21"/>
      <c r="LO18" s="21"/>
      <c r="LP18" s="21"/>
      <c r="LQ18" s="21"/>
      <c r="LR18" s="21"/>
      <c r="LS18" s="21"/>
      <c r="LT18" s="21"/>
      <c r="LU18" s="21"/>
      <c r="LV18" s="21"/>
      <c r="LW18" s="21"/>
      <c r="LX18" s="21"/>
      <c r="LY18" s="21"/>
      <c r="LZ18" s="21"/>
      <c r="MA18" s="21"/>
      <c r="MB18" s="21"/>
      <c r="MC18" s="21"/>
      <c r="MD18" s="21"/>
      <c r="ME18" s="21"/>
      <c r="MF18" s="21"/>
      <c r="MG18" s="21"/>
      <c r="MH18" s="21"/>
      <c r="MI18" s="21"/>
      <c r="MJ18" s="21"/>
      <c r="MK18" s="21"/>
      <c r="ML18" s="21"/>
      <c r="MM18" s="21"/>
      <c r="MN18" s="21"/>
      <c r="MO18" s="21"/>
      <c r="MP18" s="21"/>
      <c r="MQ18" s="21"/>
      <c r="MR18" s="21"/>
      <c r="MS18" s="21"/>
      <c r="MT18" s="21"/>
      <c r="MU18" s="21"/>
      <c r="MV18" s="21"/>
      <c r="MW18" s="21"/>
      <c r="MX18" s="21"/>
      <c r="MY18" s="21"/>
      <c r="MZ18" s="21"/>
      <c r="NA18" s="21"/>
      <c r="NB18" s="21"/>
      <c r="NC18" s="21"/>
      <c r="ND18" s="21"/>
      <c r="NE18" s="21"/>
      <c r="NF18" s="21"/>
      <c r="NG18" s="21"/>
      <c r="NH18" s="21"/>
      <c r="NI18" s="21"/>
      <c r="NJ18" s="21"/>
      <c r="NK18" s="21"/>
      <c r="NL18" s="21"/>
      <c r="NM18" s="21"/>
      <c r="NN18" s="21"/>
      <c r="NO18" s="21"/>
      <c r="NP18" s="21"/>
      <c r="NQ18" s="21"/>
      <c r="NR18" s="21"/>
      <c r="NS18" s="21"/>
      <c r="NT18" s="21"/>
      <c r="NU18" s="21"/>
      <c r="NV18" s="21"/>
      <c r="NW18" s="21"/>
      <c r="NX18" s="21"/>
      <c r="NY18" s="21"/>
      <c r="NZ18" s="21"/>
      <c r="OA18" s="21"/>
      <c r="OB18" s="21"/>
      <c r="OC18" s="21"/>
      <c r="OD18" s="21"/>
      <c r="OE18" s="21"/>
      <c r="OF18" s="21"/>
      <c r="OG18" s="21"/>
      <c r="OH18" s="21"/>
      <c r="OI18" s="21"/>
      <c r="OJ18" s="21"/>
      <c r="OK18" s="21"/>
      <c r="OL18" s="21"/>
      <c r="OM18" s="21"/>
      <c r="ON18" s="21"/>
      <c r="OO18" s="21"/>
      <c r="OP18" s="21"/>
      <c r="OQ18" s="21"/>
      <c r="OR18" s="21"/>
      <c r="OS18" s="21"/>
      <c r="OT18" s="21"/>
      <c r="OU18" s="21"/>
      <c r="OV18" s="21"/>
      <c r="OW18" s="21"/>
      <c r="OX18" s="21"/>
      <c r="OY18" s="21"/>
      <c r="OZ18" s="21"/>
      <c r="PA18" s="21"/>
      <c r="PB18" s="21"/>
      <c r="PC18" s="21"/>
      <c r="PD18" s="21"/>
      <c r="PE18" s="21"/>
      <c r="PF18" s="21"/>
      <c r="PG18" s="21"/>
      <c r="PH18" s="21"/>
      <c r="PI18" s="21"/>
      <c r="PJ18" s="21"/>
      <c r="PK18" s="21"/>
      <c r="PL18" s="21"/>
      <c r="PM18" s="21"/>
      <c r="PN18" s="21"/>
      <c r="PO18" s="21"/>
      <c r="PP18" s="21"/>
      <c r="PQ18" s="21"/>
      <c r="PR18" s="21"/>
      <c r="PS18" s="21"/>
      <c r="PT18" s="21"/>
      <c r="PU18" s="21"/>
      <c r="PV18" s="21"/>
      <c r="PW18" s="21"/>
      <c r="PX18" s="21"/>
      <c r="PY18" s="21"/>
      <c r="PZ18" s="21"/>
      <c r="QA18" s="21"/>
      <c r="QB18" s="21"/>
      <c r="QC18" s="21"/>
      <c r="QD18" s="21"/>
      <c r="QE18" s="21"/>
      <c r="QF18" s="21"/>
      <c r="QG18" s="21"/>
      <c r="QH18" s="21"/>
      <c r="QI18" s="21"/>
      <c r="QJ18" s="21"/>
      <c r="QK18" s="21"/>
      <c r="QL18" s="21"/>
      <c r="QM18" s="21"/>
      <c r="QN18" s="21"/>
      <c r="QO18" s="21"/>
      <c r="QP18" s="21"/>
      <c r="QQ18" s="21"/>
      <c r="QR18" s="21"/>
      <c r="QS18" s="21"/>
      <c r="QT18" s="21"/>
      <c r="QU18" s="21"/>
      <c r="QV18" s="21"/>
      <c r="QW18" s="21"/>
      <c r="QX18" s="21"/>
      <c r="QY18" s="21"/>
      <c r="QZ18" s="21"/>
      <c r="RA18" s="21"/>
      <c r="RB18" s="21"/>
      <c r="RC18" s="21"/>
      <c r="RD18" s="21"/>
      <c r="RE18" s="21"/>
      <c r="RF18" s="21"/>
      <c r="RG18" s="21"/>
      <c r="RH18" s="21"/>
      <c r="RI18" s="21"/>
      <c r="RJ18" s="21"/>
      <c r="RK18" s="21"/>
      <c r="RL18" s="21"/>
      <c r="RM18" s="21"/>
      <c r="RN18" s="21"/>
      <c r="RO18" s="21"/>
      <c r="RP18" s="21"/>
      <c r="RQ18" s="21"/>
      <c r="RR18" s="21"/>
      <c r="RS18" s="21"/>
      <c r="RT18" s="21"/>
      <c r="RU18" s="21"/>
      <c r="RV18" s="21"/>
      <c r="RW18" s="21"/>
      <c r="RX18" s="21"/>
      <c r="RY18" s="21"/>
      <c r="RZ18" s="21"/>
      <c r="SA18" s="21"/>
      <c r="SB18" s="21"/>
      <c r="SC18" s="21"/>
      <c r="SD18" s="21"/>
      <c r="SE18" s="21"/>
      <c r="SF18" s="21"/>
      <c r="SG18" s="21"/>
      <c r="SH18" s="21"/>
      <c r="SI18" s="21"/>
      <c r="SJ18" s="21"/>
      <c r="SK18" s="21"/>
      <c r="SL18" s="21"/>
      <c r="SM18" s="21"/>
      <c r="SN18" s="21"/>
      <c r="SO18" s="21"/>
      <c r="SP18" s="21"/>
      <c r="SQ18" s="21"/>
      <c r="SR18" s="21"/>
      <c r="SS18" s="21"/>
      <c r="ST18" s="21"/>
      <c r="SU18" s="21"/>
      <c r="SV18" s="21"/>
      <c r="SW18" s="21"/>
      <c r="SX18" s="21"/>
      <c r="SY18" s="21"/>
      <c r="SZ18" s="21"/>
      <c r="TA18" s="21"/>
      <c r="TB18" s="21"/>
      <c r="TC18" s="21"/>
      <c r="TD18" s="21"/>
      <c r="TE18" s="21"/>
      <c r="TF18" s="21"/>
      <c r="TG18" s="21"/>
      <c r="TH18" s="21"/>
      <c r="TI18" s="21"/>
      <c r="TJ18" s="21"/>
      <c r="TK18" s="21"/>
      <c r="TL18" s="21"/>
      <c r="TM18" s="21"/>
      <c r="TN18" s="21"/>
      <c r="TO18" s="21"/>
      <c r="TP18" s="21"/>
      <c r="TQ18" s="21"/>
      <c r="TR18" s="21"/>
      <c r="TS18" s="21"/>
      <c r="TT18" s="21"/>
      <c r="TU18" s="21"/>
      <c r="TV18" s="21"/>
      <c r="TW18" s="21"/>
      <c r="TX18" s="21"/>
      <c r="TY18" s="21"/>
      <c r="TZ18" s="21"/>
      <c r="UA18" s="21"/>
      <c r="UB18" s="21"/>
      <c r="UC18" s="21"/>
      <c r="UD18" s="21"/>
      <c r="UE18" s="21"/>
      <c r="UF18" s="21"/>
      <c r="UG18" s="21"/>
      <c r="UH18" s="21"/>
      <c r="UI18" s="21"/>
      <c r="UJ18" s="21"/>
      <c r="UK18" s="21"/>
      <c r="UL18" s="21"/>
      <c r="UM18" s="21"/>
      <c r="UN18" s="21"/>
      <c r="UO18" s="21"/>
      <c r="UP18" s="21"/>
      <c r="UQ18" s="21"/>
      <c r="UR18" s="21"/>
      <c r="US18" s="21"/>
      <c r="UT18" s="21"/>
      <c r="UU18" s="21"/>
      <c r="UV18" s="21"/>
      <c r="UW18" s="21"/>
      <c r="UX18" s="21"/>
      <c r="UY18" s="21"/>
      <c r="UZ18" s="21"/>
      <c r="VA18" s="21"/>
      <c r="VB18" s="21"/>
      <c r="VC18" s="21"/>
      <c r="VD18" s="21"/>
      <c r="VE18" s="21"/>
      <c r="VF18" s="21"/>
      <c r="VG18" s="21"/>
      <c r="VH18" s="21"/>
      <c r="VI18" s="21"/>
      <c r="VJ18" s="21"/>
      <c r="VK18" s="21"/>
      <c r="VL18" s="21"/>
      <c r="VM18" s="21"/>
      <c r="VN18" s="21"/>
      <c r="VO18" s="21"/>
      <c r="VP18" s="21"/>
      <c r="VQ18" s="21"/>
      <c r="VR18" s="21"/>
      <c r="VS18" s="21"/>
      <c r="VT18" s="21"/>
      <c r="VU18" s="21"/>
      <c r="VV18" s="21"/>
      <c r="VW18" s="21"/>
      <c r="VX18" s="21"/>
      <c r="VY18" s="21"/>
      <c r="VZ18" s="21"/>
      <c r="WA18" s="21"/>
      <c r="WB18" s="21"/>
      <c r="WC18" s="21"/>
      <c r="WD18" s="21"/>
      <c r="WE18" s="21"/>
      <c r="WF18" s="21"/>
      <c r="WG18" s="21"/>
      <c r="WH18" s="21"/>
      <c r="WI18" s="21"/>
      <c r="WJ18" s="21"/>
      <c r="WK18" s="21"/>
      <c r="WL18" s="21"/>
      <c r="WM18" s="21"/>
      <c r="WN18" s="21"/>
      <c r="WO18" s="21"/>
      <c r="WP18" s="21"/>
      <c r="WQ18" s="21"/>
      <c r="WR18" s="21"/>
      <c r="WS18" s="21"/>
      <c r="WT18" s="21"/>
      <c r="WU18" s="21"/>
      <c r="WV18" s="21"/>
      <c r="WW18" s="21"/>
      <c r="WX18" s="21"/>
      <c r="WY18" s="21"/>
      <c r="WZ18" s="21"/>
      <c r="XA18" s="21"/>
      <c r="XB18" s="21"/>
      <c r="XC18" s="21"/>
      <c r="XD18" s="21"/>
      <c r="XE18" s="21"/>
      <c r="XF18" s="21"/>
      <c r="XG18" s="21"/>
      <c r="XH18" s="21"/>
      <c r="XI18" s="21"/>
      <c r="XJ18" s="21"/>
      <c r="XK18" s="21"/>
      <c r="XL18" s="21"/>
      <c r="XM18" s="21"/>
      <c r="XN18" s="21"/>
      <c r="XO18" s="21"/>
      <c r="XP18" s="21"/>
      <c r="XQ18" s="21"/>
      <c r="XR18" s="21"/>
      <c r="XS18" s="21"/>
      <c r="XT18" s="21"/>
      <c r="XU18" s="21"/>
      <c r="XV18" s="21"/>
      <c r="XW18" s="21"/>
      <c r="XX18" s="21"/>
      <c r="XY18" s="21"/>
      <c r="XZ18" s="21"/>
      <c r="YA18" s="21"/>
      <c r="YB18" s="21"/>
      <c r="YC18" s="21"/>
      <c r="YD18" s="21"/>
      <c r="YE18" s="21"/>
      <c r="YF18" s="21"/>
      <c r="YG18" s="21"/>
      <c r="YH18" s="21"/>
      <c r="YI18" s="21"/>
      <c r="YJ18" s="21"/>
      <c r="YK18" s="21"/>
      <c r="YL18" s="21"/>
      <c r="YM18" s="21"/>
      <c r="YN18" s="21"/>
      <c r="YO18" s="21"/>
      <c r="YP18" s="21"/>
      <c r="YQ18" s="21"/>
      <c r="YR18" s="21"/>
      <c r="YS18" s="21"/>
      <c r="YT18" s="21"/>
      <c r="YU18" s="21"/>
      <c r="YV18" s="21"/>
      <c r="YW18" s="21"/>
      <c r="YX18" s="21"/>
      <c r="YY18" s="21"/>
      <c r="YZ18" s="21"/>
      <c r="ZA18" s="21"/>
      <c r="ZB18" s="21"/>
      <c r="ZC18" s="21"/>
      <c r="ZD18" s="21"/>
      <c r="ZE18" s="21"/>
      <c r="ZF18" s="21"/>
      <c r="ZG18" s="21"/>
      <c r="ZH18" s="21"/>
      <c r="ZI18" s="21"/>
      <c r="ZJ18" s="21"/>
      <c r="ZK18" s="21"/>
      <c r="ZL18" s="21"/>
      <c r="ZM18" s="21"/>
      <c r="ZN18" s="21"/>
      <c r="ZO18" s="21"/>
      <c r="ZP18" s="21"/>
      <c r="ZQ18" s="21"/>
      <c r="ZR18" s="21"/>
      <c r="ZS18" s="21"/>
      <c r="ZT18" s="21"/>
      <c r="ZU18" s="21"/>
      <c r="ZV18" s="21"/>
      <c r="ZW18" s="21"/>
      <c r="ZX18" s="21"/>
      <c r="ZY18" s="21"/>
      <c r="ZZ18" s="21"/>
      <c r="AAA18" s="21"/>
      <c r="AAB18" s="21"/>
      <c r="AAC18" s="21"/>
      <c r="AAD18" s="21"/>
      <c r="AAE18" s="21"/>
      <c r="AAF18" s="21"/>
    </row>
    <row r="19" spans="1:708" s="22" customFormat="1" ht="53.25" customHeight="1" x14ac:dyDescent="0.25">
      <c r="A19" s="504"/>
      <c r="B19" s="506"/>
      <c r="C19" s="571"/>
      <c r="D19" s="571"/>
      <c r="E19" s="571"/>
      <c r="F19" s="571"/>
      <c r="G19" s="571"/>
      <c r="H19" s="571"/>
      <c r="I19" s="572"/>
      <c r="J19" s="391"/>
      <c r="K19" s="391"/>
      <c r="L19" s="391"/>
      <c r="M19" s="391"/>
      <c r="N19" s="391"/>
      <c r="O19" s="391"/>
      <c r="P19" s="391"/>
      <c r="Q19" s="73" t="s">
        <v>133</v>
      </c>
      <c r="R19" s="73" t="s">
        <v>134</v>
      </c>
      <c r="S19" s="74" t="s">
        <v>56</v>
      </c>
      <c r="T19" s="73"/>
      <c r="U19" s="74">
        <v>425</v>
      </c>
      <c r="V19" s="93">
        <v>12224188561</v>
      </c>
      <c r="W19" s="570"/>
      <c r="X19" s="75" t="s">
        <v>126</v>
      </c>
      <c r="Y19" s="390"/>
      <c r="Z19" s="390"/>
      <c r="AA19" s="389"/>
      <c r="AB19" s="390"/>
      <c r="AC19" s="74">
        <v>2</v>
      </c>
      <c r="AD19" s="74">
        <f t="shared" si="0"/>
        <v>425</v>
      </c>
      <c r="AE19" s="76">
        <f>AC19/AD19</f>
        <v>4.7058823529411761E-3</v>
      </c>
      <c r="AF19" s="74" t="s">
        <v>135</v>
      </c>
      <c r="AG19" s="579"/>
      <c r="AH19" s="579"/>
      <c r="AI19" s="580"/>
      <c r="AJ19" s="579"/>
      <c r="AK19" s="77">
        <v>17</v>
      </c>
      <c r="AL19" s="77">
        <v>425</v>
      </c>
      <c r="AM19" s="78">
        <v>0.04</v>
      </c>
      <c r="AN19" s="77" t="s">
        <v>136</v>
      </c>
      <c r="AO19" s="579"/>
      <c r="AP19" s="579"/>
      <c r="AQ19" s="580"/>
      <c r="AR19" s="579"/>
      <c r="AS19" s="77">
        <v>74</v>
      </c>
      <c r="AT19" s="77">
        <f t="shared" si="1"/>
        <v>425</v>
      </c>
      <c r="AU19" s="78">
        <f>AS19/AT19</f>
        <v>0.17411764705882352</v>
      </c>
      <c r="AV19" s="77" t="s">
        <v>137</v>
      </c>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c r="FA19" s="21"/>
      <c r="FB19" s="21"/>
      <c r="FC19" s="21"/>
      <c r="FD19" s="21"/>
      <c r="FE19" s="21"/>
      <c r="FF19" s="21"/>
      <c r="FG19" s="21"/>
      <c r="FH19" s="21"/>
      <c r="FI19" s="21"/>
      <c r="FJ19" s="21"/>
      <c r="FK19" s="21"/>
      <c r="FL19" s="21"/>
      <c r="FM19" s="21"/>
      <c r="FN19" s="21"/>
      <c r="FO19" s="21"/>
      <c r="FP19" s="21"/>
      <c r="FQ19" s="21"/>
      <c r="FR19" s="21"/>
      <c r="FS19" s="21"/>
      <c r="FT19" s="21"/>
      <c r="FU19" s="21"/>
      <c r="FV19" s="21"/>
      <c r="FW19" s="21"/>
      <c r="FX19" s="21"/>
      <c r="FY19" s="21"/>
      <c r="FZ19" s="21"/>
      <c r="GA19" s="21"/>
      <c r="GB19" s="21"/>
      <c r="GC19" s="21"/>
      <c r="GD19" s="21"/>
      <c r="GE19" s="21"/>
      <c r="GF19" s="21"/>
      <c r="GG19" s="21"/>
      <c r="GH19" s="21"/>
      <c r="GI19" s="21"/>
      <c r="GJ19" s="21"/>
      <c r="GK19" s="21"/>
      <c r="GL19" s="21"/>
      <c r="GM19" s="21"/>
      <c r="GN19" s="21"/>
      <c r="GO19" s="21"/>
      <c r="GP19" s="21"/>
      <c r="GQ19" s="21"/>
      <c r="GR19" s="21"/>
      <c r="GS19" s="21"/>
      <c r="GT19" s="21"/>
      <c r="GU19" s="21"/>
      <c r="GV19" s="21"/>
      <c r="GW19" s="21"/>
      <c r="GX19" s="21"/>
      <c r="GY19" s="21"/>
      <c r="GZ19" s="21"/>
      <c r="HA19" s="21"/>
      <c r="HB19" s="21"/>
      <c r="HC19" s="21"/>
      <c r="HD19" s="21"/>
      <c r="HE19" s="21"/>
      <c r="HF19" s="21"/>
      <c r="HG19" s="21"/>
      <c r="HH19" s="21"/>
      <c r="HI19" s="21"/>
      <c r="HJ19" s="21"/>
      <c r="HK19" s="21"/>
      <c r="HL19" s="21"/>
      <c r="HM19" s="21"/>
      <c r="HN19" s="21"/>
      <c r="HO19" s="21"/>
      <c r="HP19" s="21"/>
      <c r="HQ19" s="21"/>
      <c r="HR19" s="21"/>
      <c r="HS19" s="21"/>
      <c r="HT19" s="21"/>
      <c r="HU19" s="21"/>
      <c r="HV19" s="21"/>
      <c r="HW19" s="21"/>
      <c r="HX19" s="21"/>
      <c r="HY19" s="21"/>
      <c r="HZ19" s="21"/>
      <c r="IA19" s="21"/>
      <c r="IB19" s="21"/>
      <c r="IC19" s="21"/>
      <c r="ID19" s="21"/>
      <c r="IE19" s="21"/>
      <c r="IF19" s="21"/>
      <c r="IG19" s="21"/>
      <c r="IH19" s="21"/>
      <c r="II19" s="21"/>
      <c r="IJ19" s="21"/>
      <c r="IK19" s="21"/>
      <c r="IL19" s="21"/>
      <c r="IM19" s="21"/>
      <c r="IN19" s="21"/>
      <c r="IO19" s="21"/>
      <c r="IP19" s="21"/>
      <c r="IQ19" s="21"/>
      <c r="IR19" s="21"/>
      <c r="IS19" s="21"/>
      <c r="IT19" s="21"/>
      <c r="IU19" s="21"/>
      <c r="IV19" s="21"/>
      <c r="IW19" s="21"/>
      <c r="IX19" s="21"/>
      <c r="IY19" s="21"/>
      <c r="IZ19" s="21"/>
      <c r="JA19" s="21"/>
      <c r="JB19" s="21"/>
      <c r="JC19" s="21"/>
      <c r="JD19" s="21"/>
      <c r="JE19" s="21"/>
      <c r="JF19" s="21"/>
      <c r="JG19" s="21"/>
      <c r="JH19" s="21"/>
      <c r="JI19" s="21"/>
      <c r="JJ19" s="21"/>
      <c r="JK19" s="21"/>
      <c r="JL19" s="21"/>
      <c r="JM19" s="21"/>
      <c r="JN19" s="21"/>
      <c r="JO19" s="21"/>
      <c r="JP19" s="21"/>
      <c r="JQ19" s="21"/>
      <c r="JR19" s="21"/>
      <c r="JS19" s="21"/>
      <c r="JT19" s="21"/>
      <c r="JU19" s="21"/>
      <c r="JV19" s="21"/>
      <c r="JW19" s="21"/>
      <c r="JX19" s="21"/>
      <c r="JY19" s="21"/>
      <c r="JZ19" s="21"/>
      <c r="KA19" s="21"/>
      <c r="KB19" s="21"/>
      <c r="KC19" s="21"/>
      <c r="KD19" s="21"/>
      <c r="KE19" s="21"/>
      <c r="KF19" s="21"/>
      <c r="KG19" s="21"/>
      <c r="KH19" s="21"/>
      <c r="KI19" s="21"/>
      <c r="KJ19" s="21"/>
      <c r="KK19" s="21"/>
      <c r="KL19" s="21"/>
      <c r="KM19" s="21"/>
      <c r="KN19" s="21"/>
      <c r="KO19" s="21"/>
      <c r="KP19" s="21"/>
      <c r="KQ19" s="21"/>
      <c r="KR19" s="21"/>
      <c r="KS19" s="21"/>
      <c r="KT19" s="21"/>
      <c r="KU19" s="21"/>
      <c r="KV19" s="21"/>
      <c r="KW19" s="21"/>
      <c r="KX19" s="21"/>
      <c r="KY19" s="21"/>
      <c r="KZ19" s="21"/>
      <c r="LA19" s="21"/>
      <c r="LB19" s="21"/>
      <c r="LC19" s="21"/>
      <c r="LD19" s="21"/>
      <c r="LE19" s="21"/>
      <c r="LF19" s="21"/>
      <c r="LG19" s="21"/>
      <c r="LH19" s="21"/>
      <c r="LI19" s="21"/>
      <c r="LJ19" s="21"/>
      <c r="LK19" s="21"/>
      <c r="LL19" s="21"/>
      <c r="LM19" s="21"/>
      <c r="LN19" s="21"/>
      <c r="LO19" s="21"/>
      <c r="LP19" s="21"/>
      <c r="LQ19" s="21"/>
      <c r="LR19" s="21"/>
      <c r="LS19" s="21"/>
      <c r="LT19" s="21"/>
      <c r="LU19" s="21"/>
      <c r="LV19" s="21"/>
      <c r="LW19" s="21"/>
      <c r="LX19" s="21"/>
      <c r="LY19" s="21"/>
      <c r="LZ19" s="21"/>
      <c r="MA19" s="21"/>
      <c r="MB19" s="21"/>
      <c r="MC19" s="21"/>
      <c r="MD19" s="21"/>
      <c r="ME19" s="21"/>
      <c r="MF19" s="21"/>
      <c r="MG19" s="21"/>
      <c r="MH19" s="21"/>
      <c r="MI19" s="21"/>
      <c r="MJ19" s="21"/>
      <c r="MK19" s="21"/>
      <c r="ML19" s="21"/>
      <c r="MM19" s="21"/>
      <c r="MN19" s="21"/>
      <c r="MO19" s="21"/>
      <c r="MP19" s="21"/>
      <c r="MQ19" s="21"/>
      <c r="MR19" s="21"/>
      <c r="MS19" s="21"/>
      <c r="MT19" s="21"/>
      <c r="MU19" s="21"/>
      <c r="MV19" s="21"/>
      <c r="MW19" s="21"/>
      <c r="MX19" s="21"/>
      <c r="MY19" s="21"/>
      <c r="MZ19" s="21"/>
      <c r="NA19" s="21"/>
      <c r="NB19" s="21"/>
      <c r="NC19" s="21"/>
      <c r="ND19" s="21"/>
      <c r="NE19" s="21"/>
      <c r="NF19" s="21"/>
      <c r="NG19" s="21"/>
      <c r="NH19" s="21"/>
      <c r="NI19" s="21"/>
      <c r="NJ19" s="21"/>
      <c r="NK19" s="21"/>
      <c r="NL19" s="21"/>
      <c r="NM19" s="21"/>
      <c r="NN19" s="21"/>
      <c r="NO19" s="21"/>
      <c r="NP19" s="21"/>
      <c r="NQ19" s="21"/>
      <c r="NR19" s="21"/>
      <c r="NS19" s="21"/>
      <c r="NT19" s="21"/>
      <c r="NU19" s="21"/>
      <c r="NV19" s="21"/>
      <c r="NW19" s="21"/>
      <c r="NX19" s="21"/>
      <c r="NY19" s="21"/>
      <c r="NZ19" s="21"/>
      <c r="OA19" s="21"/>
      <c r="OB19" s="21"/>
      <c r="OC19" s="21"/>
      <c r="OD19" s="21"/>
      <c r="OE19" s="21"/>
      <c r="OF19" s="21"/>
      <c r="OG19" s="21"/>
      <c r="OH19" s="21"/>
      <c r="OI19" s="21"/>
      <c r="OJ19" s="21"/>
      <c r="OK19" s="21"/>
      <c r="OL19" s="21"/>
      <c r="OM19" s="21"/>
      <c r="ON19" s="21"/>
      <c r="OO19" s="21"/>
      <c r="OP19" s="21"/>
      <c r="OQ19" s="21"/>
      <c r="OR19" s="21"/>
      <c r="OS19" s="21"/>
      <c r="OT19" s="21"/>
      <c r="OU19" s="21"/>
      <c r="OV19" s="21"/>
      <c r="OW19" s="21"/>
      <c r="OX19" s="21"/>
      <c r="OY19" s="21"/>
      <c r="OZ19" s="21"/>
      <c r="PA19" s="21"/>
      <c r="PB19" s="21"/>
      <c r="PC19" s="21"/>
      <c r="PD19" s="21"/>
      <c r="PE19" s="21"/>
      <c r="PF19" s="21"/>
      <c r="PG19" s="21"/>
      <c r="PH19" s="21"/>
      <c r="PI19" s="21"/>
      <c r="PJ19" s="21"/>
      <c r="PK19" s="21"/>
      <c r="PL19" s="21"/>
      <c r="PM19" s="21"/>
      <c r="PN19" s="21"/>
      <c r="PO19" s="21"/>
      <c r="PP19" s="21"/>
      <c r="PQ19" s="21"/>
      <c r="PR19" s="21"/>
      <c r="PS19" s="21"/>
      <c r="PT19" s="21"/>
      <c r="PU19" s="21"/>
      <c r="PV19" s="21"/>
      <c r="PW19" s="21"/>
      <c r="PX19" s="21"/>
      <c r="PY19" s="21"/>
      <c r="PZ19" s="21"/>
      <c r="QA19" s="21"/>
      <c r="QB19" s="21"/>
      <c r="QC19" s="21"/>
      <c r="QD19" s="21"/>
      <c r="QE19" s="21"/>
      <c r="QF19" s="21"/>
      <c r="QG19" s="21"/>
      <c r="QH19" s="21"/>
      <c r="QI19" s="21"/>
      <c r="QJ19" s="21"/>
      <c r="QK19" s="21"/>
      <c r="QL19" s="21"/>
      <c r="QM19" s="21"/>
      <c r="QN19" s="21"/>
      <c r="QO19" s="21"/>
      <c r="QP19" s="21"/>
      <c r="QQ19" s="21"/>
      <c r="QR19" s="21"/>
      <c r="QS19" s="21"/>
      <c r="QT19" s="21"/>
      <c r="QU19" s="21"/>
      <c r="QV19" s="21"/>
      <c r="QW19" s="21"/>
      <c r="QX19" s="21"/>
      <c r="QY19" s="21"/>
      <c r="QZ19" s="21"/>
      <c r="RA19" s="21"/>
      <c r="RB19" s="21"/>
      <c r="RC19" s="21"/>
      <c r="RD19" s="21"/>
      <c r="RE19" s="21"/>
      <c r="RF19" s="21"/>
      <c r="RG19" s="21"/>
      <c r="RH19" s="21"/>
      <c r="RI19" s="21"/>
      <c r="RJ19" s="21"/>
      <c r="RK19" s="21"/>
      <c r="RL19" s="21"/>
      <c r="RM19" s="21"/>
      <c r="RN19" s="21"/>
      <c r="RO19" s="21"/>
      <c r="RP19" s="21"/>
      <c r="RQ19" s="21"/>
      <c r="RR19" s="21"/>
      <c r="RS19" s="21"/>
      <c r="RT19" s="21"/>
      <c r="RU19" s="21"/>
      <c r="RV19" s="21"/>
      <c r="RW19" s="21"/>
      <c r="RX19" s="21"/>
      <c r="RY19" s="21"/>
      <c r="RZ19" s="21"/>
      <c r="SA19" s="21"/>
      <c r="SB19" s="21"/>
      <c r="SC19" s="21"/>
      <c r="SD19" s="21"/>
      <c r="SE19" s="21"/>
      <c r="SF19" s="21"/>
      <c r="SG19" s="21"/>
      <c r="SH19" s="21"/>
      <c r="SI19" s="21"/>
      <c r="SJ19" s="21"/>
      <c r="SK19" s="21"/>
      <c r="SL19" s="21"/>
      <c r="SM19" s="21"/>
      <c r="SN19" s="21"/>
      <c r="SO19" s="21"/>
      <c r="SP19" s="21"/>
      <c r="SQ19" s="21"/>
      <c r="SR19" s="21"/>
      <c r="SS19" s="21"/>
      <c r="ST19" s="21"/>
      <c r="SU19" s="21"/>
      <c r="SV19" s="21"/>
      <c r="SW19" s="21"/>
      <c r="SX19" s="21"/>
      <c r="SY19" s="21"/>
      <c r="SZ19" s="21"/>
      <c r="TA19" s="21"/>
      <c r="TB19" s="21"/>
      <c r="TC19" s="21"/>
      <c r="TD19" s="21"/>
      <c r="TE19" s="21"/>
      <c r="TF19" s="21"/>
      <c r="TG19" s="21"/>
      <c r="TH19" s="21"/>
      <c r="TI19" s="21"/>
      <c r="TJ19" s="21"/>
      <c r="TK19" s="21"/>
      <c r="TL19" s="21"/>
      <c r="TM19" s="21"/>
      <c r="TN19" s="21"/>
      <c r="TO19" s="21"/>
      <c r="TP19" s="21"/>
      <c r="TQ19" s="21"/>
      <c r="TR19" s="21"/>
      <c r="TS19" s="21"/>
      <c r="TT19" s="21"/>
      <c r="TU19" s="21"/>
      <c r="TV19" s="21"/>
      <c r="TW19" s="21"/>
      <c r="TX19" s="21"/>
      <c r="TY19" s="21"/>
      <c r="TZ19" s="21"/>
      <c r="UA19" s="21"/>
      <c r="UB19" s="21"/>
      <c r="UC19" s="21"/>
      <c r="UD19" s="21"/>
      <c r="UE19" s="21"/>
      <c r="UF19" s="21"/>
      <c r="UG19" s="21"/>
      <c r="UH19" s="21"/>
      <c r="UI19" s="21"/>
      <c r="UJ19" s="21"/>
      <c r="UK19" s="21"/>
      <c r="UL19" s="21"/>
      <c r="UM19" s="21"/>
      <c r="UN19" s="21"/>
      <c r="UO19" s="21"/>
      <c r="UP19" s="21"/>
      <c r="UQ19" s="21"/>
      <c r="UR19" s="21"/>
      <c r="US19" s="21"/>
      <c r="UT19" s="21"/>
      <c r="UU19" s="21"/>
      <c r="UV19" s="21"/>
      <c r="UW19" s="21"/>
      <c r="UX19" s="21"/>
      <c r="UY19" s="21"/>
      <c r="UZ19" s="21"/>
      <c r="VA19" s="21"/>
      <c r="VB19" s="21"/>
      <c r="VC19" s="21"/>
      <c r="VD19" s="21"/>
      <c r="VE19" s="21"/>
      <c r="VF19" s="21"/>
      <c r="VG19" s="21"/>
      <c r="VH19" s="21"/>
      <c r="VI19" s="21"/>
      <c r="VJ19" s="21"/>
      <c r="VK19" s="21"/>
      <c r="VL19" s="21"/>
      <c r="VM19" s="21"/>
      <c r="VN19" s="21"/>
      <c r="VO19" s="21"/>
      <c r="VP19" s="21"/>
      <c r="VQ19" s="21"/>
      <c r="VR19" s="21"/>
      <c r="VS19" s="21"/>
      <c r="VT19" s="21"/>
      <c r="VU19" s="21"/>
      <c r="VV19" s="21"/>
      <c r="VW19" s="21"/>
      <c r="VX19" s="21"/>
      <c r="VY19" s="21"/>
      <c r="VZ19" s="21"/>
      <c r="WA19" s="21"/>
      <c r="WB19" s="21"/>
      <c r="WC19" s="21"/>
      <c r="WD19" s="21"/>
      <c r="WE19" s="21"/>
      <c r="WF19" s="21"/>
      <c r="WG19" s="21"/>
      <c r="WH19" s="21"/>
      <c r="WI19" s="21"/>
      <c r="WJ19" s="21"/>
      <c r="WK19" s="21"/>
      <c r="WL19" s="21"/>
      <c r="WM19" s="21"/>
      <c r="WN19" s="21"/>
      <c r="WO19" s="21"/>
      <c r="WP19" s="21"/>
      <c r="WQ19" s="21"/>
      <c r="WR19" s="21"/>
      <c r="WS19" s="21"/>
      <c r="WT19" s="21"/>
      <c r="WU19" s="21"/>
      <c r="WV19" s="21"/>
      <c r="WW19" s="21"/>
      <c r="WX19" s="21"/>
      <c r="WY19" s="21"/>
      <c r="WZ19" s="21"/>
      <c r="XA19" s="21"/>
      <c r="XB19" s="21"/>
      <c r="XC19" s="21"/>
      <c r="XD19" s="21"/>
      <c r="XE19" s="21"/>
      <c r="XF19" s="21"/>
      <c r="XG19" s="21"/>
      <c r="XH19" s="21"/>
      <c r="XI19" s="21"/>
      <c r="XJ19" s="21"/>
      <c r="XK19" s="21"/>
      <c r="XL19" s="21"/>
      <c r="XM19" s="21"/>
      <c r="XN19" s="21"/>
      <c r="XO19" s="21"/>
      <c r="XP19" s="21"/>
      <c r="XQ19" s="21"/>
      <c r="XR19" s="21"/>
      <c r="XS19" s="21"/>
      <c r="XT19" s="21"/>
      <c r="XU19" s="21"/>
      <c r="XV19" s="21"/>
      <c r="XW19" s="21"/>
      <c r="XX19" s="21"/>
      <c r="XY19" s="21"/>
      <c r="XZ19" s="21"/>
      <c r="YA19" s="21"/>
      <c r="YB19" s="21"/>
      <c r="YC19" s="21"/>
      <c r="YD19" s="21"/>
      <c r="YE19" s="21"/>
      <c r="YF19" s="21"/>
      <c r="YG19" s="21"/>
      <c r="YH19" s="21"/>
      <c r="YI19" s="21"/>
      <c r="YJ19" s="21"/>
      <c r="YK19" s="21"/>
      <c r="YL19" s="21"/>
      <c r="YM19" s="21"/>
      <c r="YN19" s="21"/>
      <c r="YO19" s="21"/>
      <c r="YP19" s="21"/>
      <c r="YQ19" s="21"/>
      <c r="YR19" s="21"/>
      <c r="YS19" s="21"/>
      <c r="YT19" s="21"/>
      <c r="YU19" s="21"/>
      <c r="YV19" s="21"/>
      <c r="YW19" s="21"/>
      <c r="YX19" s="21"/>
      <c r="YY19" s="21"/>
      <c r="YZ19" s="21"/>
      <c r="ZA19" s="21"/>
      <c r="ZB19" s="21"/>
      <c r="ZC19" s="21"/>
      <c r="ZD19" s="21"/>
      <c r="ZE19" s="21"/>
      <c r="ZF19" s="21"/>
      <c r="ZG19" s="21"/>
      <c r="ZH19" s="21"/>
      <c r="ZI19" s="21"/>
      <c r="ZJ19" s="21"/>
      <c r="ZK19" s="21"/>
      <c r="ZL19" s="21"/>
      <c r="ZM19" s="21"/>
      <c r="ZN19" s="21"/>
      <c r="ZO19" s="21"/>
      <c r="ZP19" s="21"/>
      <c r="ZQ19" s="21"/>
      <c r="ZR19" s="21"/>
      <c r="ZS19" s="21"/>
      <c r="ZT19" s="21"/>
      <c r="ZU19" s="21"/>
      <c r="ZV19" s="21"/>
      <c r="ZW19" s="21"/>
      <c r="ZX19" s="21"/>
      <c r="ZY19" s="21"/>
      <c r="ZZ19" s="21"/>
      <c r="AAA19" s="21"/>
      <c r="AAB19" s="21"/>
      <c r="AAC19" s="21"/>
      <c r="AAD19" s="21"/>
      <c r="AAE19" s="21"/>
      <c r="AAF19" s="21"/>
    </row>
    <row r="20" spans="1:708" s="33" customFormat="1" ht="53.25" customHeight="1" x14ac:dyDescent="0.25">
      <c r="A20" s="504"/>
      <c r="B20" s="506"/>
      <c r="C20" s="571"/>
      <c r="D20" s="571"/>
      <c r="E20" s="571"/>
      <c r="F20" s="571"/>
      <c r="G20" s="571"/>
      <c r="H20" s="571"/>
      <c r="I20" s="572"/>
      <c r="J20" s="391"/>
      <c r="K20" s="391"/>
      <c r="L20" s="391"/>
      <c r="M20" s="391"/>
      <c r="N20" s="391"/>
      <c r="O20" s="391"/>
      <c r="P20" s="391"/>
      <c r="Q20" s="66" t="s">
        <v>138</v>
      </c>
      <c r="R20" s="66" t="s">
        <v>139</v>
      </c>
      <c r="S20" s="87" t="s">
        <v>56</v>
      </c>
      <c r="T20" s="88"/>
      <c r="U20" s="87">
        <v>47</v>
      </c>
      <c r="V20" s="89">
        <v>12224188561</v>
      </c>
      <c r="W20" s="570"/>
      <c r="X20" s="26" t="s">
        <v>126</v>
      </c>
      <c r="Y20" s="390"/>
      <c r="Z20" s="390"/>
      <c r="AA20" s="389"/>
      <c r="AB20" s="390"/>
      <c r="AC20" s="87">
        <v>1</v>
      </c>
      <c r="AD20" s="87">
        <f t="shared" si="0"/>
        <v>47</v>
      </c>
      <c r="AE20" s="90">
        <f>AC20/AD20</f>
        <v>2.1276595744680851E-2</v>
      </c>
      <c r="AF20" s="67" t="s">
        <v>140</v>
      </c>
      <c r="AG20" s="579"/>
      <c r="AH20" s="579"/>
      <c r="AI20" s="580"/>
      <c r="AJ20" s="579"/>
      <c r="AK20" s="91">
        <v>4</v>
      </c>
      <c r="AL20" s="91">
        <v>47</v>
      </c>
      <c r="AM20" s="92">
        <v>8.5106382978723402E-2</v>
      </c>
      <c r="AN20" s="69" t="s">
        <v>141</v>
      </c>
      <c r="AO20" s="579"/>
      <c r="AP20" s="579"/>
      <c r="AQ20" s="580"/>
      <c r="AR20" s="579"/>
      <c r="AS20" s="91">
        <v>6</v>
      </c>
      <c r="AT20" s="91">
        <f t="shared" si="1"/>
        <v>47</v>
      </c>
      <c r="AU20" s="92">
        <f>AS20/AT20</f>
        <v>0.1276595744680851</v>
      </c>
      <c r="AV20" s="69" t="s">
        <v>142</v>
      </c>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1"/>
      <c r="GM20" s="21"/>
      <c r="GN20" s="21"/>
      <c r="GO20" s="21"/>
      <c r="GP20" s="21"/>
      <c r="GQ20" s="21"/>
      <c r="GR20" s="21"/>
      <c r="GS20" s="21"/>
      <c r="GT20" s="21"/>
      <c r="GU20" s="21"/>
      <c r="GV20" s="21"/>
      <c r="GW20" s="21"/>
      <c r="GX20" s="21"/>
      <c r="GY20" s="21"/>
      <c r="GZ20" s="21"/>
      <c r="HA20" s="21"/>
      <c r="HB20" s="21"/>
      <c r="HC20" s="21"/>
      <c r="HD20" s="21"/>
      <c r="HE20" s="21"/>
      <c r="HF20" s="21"/>
      <c r="HG20" s="21"/>
      <c r="HH20" s="21"/>
      <c r="HI20" s="21"/>
      <c r="HJ20" s="21"/>
      <c r="HK20" s="21"/>
      <c r="HL20" s="21"/>
      <c r="HM20" s="21"/>
      <c r="HN20" s="21"/>
      <c r="HO20" s="21"/>
      <c r="HP20" s="21"/>
      <c r="HQ20" s="21"/>
      <c r="HR20" s="21"/>
      <c r="HS20" s="21"/>
      <c r="HT20" s="21"/>
      <c r="HU20" s="21"/>
      <c r="HV20" s="21"/>
      <c r="HW20" s="21"/>
      <c r="HX20" s="21"/>
      <c r="HY20" s="21"/>
      <c r="HZ20" s="21"/>
      <c r="IA20" s="21"/>
      <c r="IB20" s="21"/>
      <c r="IC20" s="21"/>
      <c r="ID20" s="21"/>
      <c r="IE20" s="21"/>
      <c r="IF20" s="21"/>
      <c r="IG20" s="21"/>
      <c r="IH20" s="21"/>
      <c r="II20" s="21"/>
      <c r="IJ20" s="21"/>
      <c r="IK20" s="21"/>
      <c r="IL20" s="21"/>
      <c r="IM20" s="21"/>
      <c r="IN20" s="21"/>
      <c r="IO20" s="21"/>
      <c r="IP20" s="21"/>
      <c r="IQ20" s="21"/>
      <c r="IR20" s="21"/>
      <c r="IS20" s="21"/>
      <c r="IT20" s="21"/>
      <c r="IU20" s="21"/>
      <c r="IV20" s="21"/>
      <c r="IW20" s="21"/>
      <c r="IX20" s="21"/>
      <c r="IY20" s="21"/>
      <c r="IZ20" s="21"/>
      <c r="JA20" s="21"/>
      <c r="JB20" s="21"/>
      <c r="JC20" s="21"/>
      <c r="JD20" s="21"/>
      <c r="JE20" s="21"/>
      <c r="JF20" s="21"/>
      <c r="JG20" s="21"/>
      <c r="JH20" s="21"/>
      <c r="JI20" s="21"/>
      <c r="JJ20" s="21"/>
      <c r="JK20" s="21"/>
      <c r="JL20" s="21"/>
      <c r="JM20" s="21"/>
      <c r="JN20" s="21"/>
      <c r="JO20" s="21"/>
      <c r="JP20" s="21"/>
      <c r="JQ20" s="21"/>
      <c r="JR20" s="21"/>
      <c r="JS20" s="21"/>
      <c r="JT20" s="21"/>
      <c r="JU20" s="21"/>
      <c r="JV20" s="21"/>
      <c r="JW20" s="21"/>
      <c r="JX20" s="21"/>
      <c r="JY20" s="21"/>
      <c r="JZ20" s="21"/>
      <c r="KA20" s="21"/>
      <c r="KB20" s="21"/>
      <c r="KC20" s="21"/>
      <c r="KD20" s="21"/>
      <c r="KE20" s="21"/>
      <c r="KF20" s="21"/>
      <c r="KG20" s="21"/>
      <c r="KH20" s="21"/>
      <c r="KI20" s="21"/>
      <c r="KJ20" s="21"/>
      <c r="KK20" s="21"/>
      <c r="KL20" s="21"/>
      <c r="KM20" s="21"/>
      <c r="KN20" s="21"/>
      <c r="KO20" s="21"/>
      <c r="KP20" s="21"/>
      <c r="KQ20" s="21"/>
      <c r="KR20" s="21"/>
      <c r="KS20" s="21"/>
      <c r="KT20" s="21"/>
      <c r="KU20" s="21"/>
      <c r="KV20" s="21"/>
      <c r="KW20" s="21"/>
      <c r="KX20" s="21"/>
      <c r="KY20" s="21"/>
      <c r="KZ20" s="21"/>
      <c r="LA20" s="21"/>
      <c r="LB20" s="21"/>
      <c r="LC20" s="21"/>
      <c r="LD20" s="21"/>
      <c r="LE20" s="21"/>
      <c r="LF20" s="21"/>
      <c r="LG20" s="21"/>
      <c r="LH20" s="21"/>
      <c r="LI20" s="21"/>
      <c r="LJ20" s="21"/>
      <c r="LK20" s="21"/>
      <c r="LL20" s="21"/>
      <c r="LM20" s="21"/>
      <c r="LN20" s="21"/>
      <c r="LO20" s="21"/>
      <c r="LP20" s="21"/>
      <c r="LQ20" s="21"/>
      <c r="LR20" s="21"/>
      <c r="LS20" s="21"/>
      <c r="LT20" s="21"/>
      <c r="LU20" s="21"/>
      <c r="LV20" s="21"/>
      <c r="LW20" s="21"/>
      <c r="LX20" s="21"/>
      <c r="LY20" s="21"/>
      <c r="LZ20" s="21"/>
      <c r="MA20" s="21"/>
      <c r="MB20" s="21"/>
      <c r="MC20" s="21"/>
      <c r="MD20" s="21"/>
      <c r="ME20" s="21"/>
      <c r="MF20" s="21"/>
      <c r="MG20" s="21"/>
      <c r="MH20" s="21"/>
      <c r="MI20" s="21"/>
      <c r="MJ20" s="21"/>
      <c r="MK20" s="21"/>
      <c r="ML20" s="21"/>
      <c r="MM20" s="21"/>
      <c r="MN20" s="21"/>
      <c r="MO20" s="21"/>
      <c r="MP20" s="21"/>
      <c r="MQ20" s="21"/>
      <c r="MR20" s="21"/>
      <c r="MS20" s="21"/>
      <c r="MT20" s="21"/>
      <c r="MU20" s="21"/>
      <c r="MV20" s="21"/>
      <c r="MW20" s="21"/>
      <c r="MX20" s="21"/>
      <c r="MY20" s="21"/>
      <c r="MZ20" s="21"/>
      <c r="NA20" s="21"/>
      <c r="NB20" s="21"/>
      <c r="NC20" s="21"/>
      <c r="ND20" s="21"/>
      <c r="NE20" s="21"/>
      <c r="NF20" s="21"/>
      <c r="NG20" s="21"/>
      <c r="NH20" s="21"/>
      <c r="NI20" s="21"/>
      <c r="NJ20" s="21"/>
      <c r="NK20" s="21"/>
      <c r="NL20" s="21"/>
      <c r="NM20" s="21"/>
      <c r="NN20" s="21"/>
      <c r="NO20" s="21"/>
      <c r="NP20" s="21"/>
      <c r="NQ20" s="21"/>
      <c r="NR20" s="21"/>
      <c r="NS20" s="21"/>
      <c r="NT20" s="21"/>
      <c r="NU20" s="21"/>
      <c r="NV20" s="21"/>
      <c r="NW20" s="21"/>
      <c r="NX20" s="21"/>
      <c r="NY20" s="21"/>
      <c r="NZ20" s="21"/>
      <c r="OA20" s="21"/>
      <c r="OB20" s="21"/>
      <c r="OC20" s="21"/>
      <c r="OD20" s="21"/>
      <c r="OE20" s="21"/>
      <c r="OF20" s="21"/>
      <c r="OG20" s="21"/>
      <c r="OH20" s="21"/>
      <c r="OI20" s="21"/>
      <c r="OJ20" s="21"/>
      <c r="OK20" s="21"/>
      <c r="OL20" s="21"/>
      <c r="OM20" s="21"/>
      <c r="ON20" s="21"/>
      <c r="OO20" s="21"/>
      <c r="OP20" s="21"/>
      <c r="OQ20" s="21"/>
      <c r="OR20" s="21"/>
      <c r="OS20" s="21"/>
      <c r="OT20" s="21"/>
      <c r="OU20" s="21"/>
      <c r="OV20" s="21"/>
      <c r="OW20" s="21"/>
      <c r="OX20" s="21"/>
      <c r="OY20" s="21"/>
      <c r="OZ20" s="21"/>
      <c r="PA20" s="21"/>
      <c r="PB20" s="21"/>
      <c r="PC20" s="21"/>
      <c r="PD20" s="21"/>
      <c r="PE20" s="21"/>
      <c r="PF20" s="21"/>
      <c r="PG20" s="21"/>
      <c r="PH20" s="21"/>
      <c r="PI20" s="21"/>
      <c r="PJ20" s="21"/>
      <c r="PK20" s="21"/>
      <c r="PL20" s="21"/>
      <c r="PM20" s="21"/>
      <c r="PN20" s="21"/>
      <c r="PO20" s="21"/>
      <c r="PP20" s="21"/>
      <c r="PQ20" s="21"/>
      <c r="PR20" s="21"/>
      <c r="PS20" s="21"/>
      <c r="PT20" s="21"/>
      <c r="PU20" s="21"/>
      <c r="PV20" s="21"/>
      <c r="PW20" s="21"/>
      <c r="PX20" s="21"/>
      <c r="PY20" s="21"/>
      <c r="PZ20" s="21"/>
      <c r="QA20" s="21"/>
      <c r="QB20" s="21"/>
      <c r="QC20" s="21"/>
      <c r="QD20" s="21"/>
      <c r="QE20" s="21"/>
      <c r="QF20" s="21"/>
      <c r="QG20" s="21"/>
      <c r="QH20" s="21"/>
      <c r="QI20" s="21"/>
      <c r="QJ20" s="21"/>
      <c r="QK20" s="21"/>
      <c r="QL20" s="21"/>
      <c r="QM20" s="21"/>
      <c r="QN20" s="21"/>
      <c r="QO20" s="21"/>
      <c r="QP20" s="21"/>
      <c r="QQ20" s="21"/>
      <c r="QR20" s="21"/>
      <c r="QS20" s="21"/>
      <c r="QT20" s="21"/>
      <c r="QU20" s="21"/>
      <c r="QV20" s="21"/>
      <c r="QW20" s="21"/>
      <c r="QX20" s="21"/>
      <c r="QY20" s="21"/>
      <c r="QZ20" s="21"/>
      <c r="RA20" s="21"/>
      <c r="RB20" s="21"/>
      <c r="RC20" s="21"/>
      <c r="RD20" s="21"/>
      <c r="RE20" s="21"/>
      <c r="RF20" s="21"/>
      <c r="RG20" s="21"/>
      <c r="RH20" s="21"/>
      <c r="RI20" s="21"/>
      <c r="RJ20" s="21"/>
      <c r="RK20" s="21"/>
      <c r="RL20" s="21"/>
      <c r="RM20" s="21"/>
      <c r="RN20" s="21"/>
      <c r="RO20" s="21"/>
      <c r="RP20" s="21"/>
      <c r="RQ20" s="21"/>
      <c r="RR20" s="21"/>
      <c r="RS20" s="21"/>
      <c r="RT20" s="21"/>
      <c r="RU20" s="21"/>
      <c r="RV20" s="21"/>
      <c r="RW20" s="21"/>
      <c r="RX20" s="21"/>
      <c r="RY20" s="21"/>
      <c r="RZ20" s="21"/>
      <c r="SA20" s="21"/>
      <c r="SB20" s="21"/>
      <c r="SC20" s="21"/>
      <c r="SD20" s="21"/>
      <c r="SE20" s="21"/>
      <c r="SF20" s="21"/>
      <c r="SG20" s="21"/>
      <c r="SH20" s="21"/>
      <c r="SI20" s="21"/>
      <c r="SJ20" s="21"/>
      <c r="SK20" s="21"/>
      <c r="SL20" s="21"/>
      <c r="SM20" s="21"/>
      <c r="SN20" s="21"/>
      <c r="SO20" s="21"/>
      <c r="SP20" s="21"/>
      <c r="SQ20" s="21"/>
      <c r="SR20" s="21"/>
      <c r="SS20" s="21"/>
      <c r="ST20" s="21"/>
      <c r="SU20" s="21"/>
      <c r="SV20" s="21"/>
      <c r="SW20" s="21"/>
      <c r="SX20" s="21"/>
      <c r="SY20" s="21"/>
      <c r="SZ20" s="21"/>
      <c r="TA20" s="21"/>
      <c r="TB20" s="21"/>
      <c r="TC20" s="21"/>
      <c r="TD20" s="21"/>
      <c r="TE20" s="21"/>
      <c r="TF20" s="21"/>
      <c r="TG20" s="21"/>
      <c r="TH20" s="21"/>
      <c r="TI20" s="21"/>
      <c r="TJ20" s="21"/>
      <c r="TK20" s="21"/>
      <c r="TL20" s="21"/>
      <c r="TM20" s="21"/>
      <c r="TN20" s="21"/>
      <c r="TO20" s="21"/>
      <c r="TP20" s="21"/>
      <c r="TQ20" s="21"/>
      <c r="TR20" s="21"/>
      <c r="TS20" s="21"/>
      <c r="TT20" s="21"/>
      <c r="TU20" s="21"/>
      <c r="TV20" s="21"/>
      <c r="TW20" s="21"/>
      <c r="TX20" s="21"/>
      <c r="TY20" s="21"/>
      <c r="TZ20" s="21"/>
      <c r="UA20" s="21"/>
      <c r="UB20" s="21"/>
      <c r="UC20" s="21"/>
      <c r="UD20" s="21"/>
      <c r="UE20" s="21"/>
      <c r="UF20" s="21"/>
      <c r="UG20" s="21"/>
      <c r="UH20" s="21"/>
      <c r="UI20" s="21"/>
      <c r="UJ20" s="21"/>
      <c r="UK20" s="21"/>
      <c r="UL20" s="21"/>
      <c r="UM20" s="21"/>
      <c r="UN20" s="21"/>
      <c r="UO20" s="21"/>
      <c r="UP20" s="21"/>
      <c r="UQ20" s="21"/>
      <c r="UR20" s="21"/>
      <c r="US20" s="21"/>
      <c r="UT20" s="21"/>
      <c r="UU20" s="21"/>
      <c r="UV20" s="21"/>
      <c r="UW20" s="21"/>
      <c r="UX20" s="21"/>
      <c r="UY20" s="21"/>
      <c r="UZ20" s="21"/>
      <c r="VA20" s="21"/>
      <c r="VB20" s="21"/>
      <c r="VC20" s="21"/>
      <c r="VD20" s="21"/>
      <c r="VE20" s="21"/>
      <c r="VF20" s="21"/>
      <c r="VG20" s="21"/>
      <c r="VH20" s="21"/>
      <c r="VI20" s="21"/>
      <c r="VJ20" s="21"/>
      <c r="VK20" s="21"/>
      <c r="VL20" s="21"/>
      <c r="VM20" s="21"/>
      <c r="VN20" s="21"/>
      <c r="VO20" s="21"/>
      <c r="VP20" s="21"/>
      <c r="VQ20" s="21"/>
      <c r="VR20" s="21"/>
      <c r="VS20" s="21"/>
      <c r="VT20" s="21"/>
      <c r="VU20" s="21"/>
      <c r="VV20" s="21"/>
      <c r="VW20" s="21"/>
      <c r="VX20" s="21"/>
      <c r="VY20" s="21"/>
      <c r="VZ20" s="21"/>
      <c r="WA20" s="21"/>
      <c r="WB20" s="21"/>
      <c r="WC20" s="21"/>
      <c r="WD20" s="21"/>
      <c r="WE20" s="21"/>
      <c r="WF20" s="21"/>
      <c r="WG20" s="21"/>
      <c r="WH20" s="21"/>
      <c r="WI20" s="21"/>
      <c r="WJ20" s="21"/>
      <c r="WK20" s="21"/>
      <c r="WL20" s="21"/>
      <c r="WM20" s="21"/>
      <c r="WN20" s="21"/>
      <c r="WO20" s="21"/>
      <c r="WP20" s="21"/>
      <c r="WQ20" s="21"/>
      <c r="WR20" s="21"/>
      <c r="WS20" s="21"/>
      <c r="WT20" s="21"/>
      <c r="WU20" s="21"/>
      <c r="WV20" s="21"/>
      <c r="WW20" s="21"/>
      <c r="WX20" s="21"/>
      <c r="WY20" s="21"/>
      <c r="WZ20" s="21"/>
      <c r="XA20" s="21"/>
      <c r="XB20" s="21"/>
      <c r="XC20" s="21"/>
      <c r="XD20" s="21"/>
      <c r="XE20" s="21"/>
      <c r="XF20" s="21"/>
      <c r="XG20" s="21"/>
      <c r="XH20" s="21"/>
      <c r="XI20" s="21"/>
      <c r="XJ20" s="21"/>
      <c r="XK20" s="21"/>
      <c r="XL20" s="21"/>
      <c r="XM20" s="21"/>
      <c r="XN20" s="21"/>
      <c r="XO20" s="21"/>
      <c r="XP20" s="21"/>
      <c r="XQ20" s="21"/>
      <c r="XR20" s="21"/>
      <c r="XS20" s="21"/>
      <c r="XT20" s="21"/>
      <c r="XU20" s="21"/>
      <c r="XV20" s="21"/>
      <c r="XW20" s="21"/>
      <c r="XX20" s="21"/>
      <c r="XY20" s="21"/>
      <c r="XZ20" s="21"/>
      <c r="YA20" s="21"/>
      <c r="YB20" s="21"/>
      <c r="YC20" s="21"/>
      <c r="YD20" s="21"/>
      <c r="YE20" s="21"/>
      <c r="YF20" s="21"/>
      <c r="YG20" s="21"/>
      <c r="YH20" s="21"/>
      <c r="YI20" s="21"/>
      <c r="YJ20" s="21"/>
      <c r="YK20" s="21"/>
      <c r="YL20" s="21"/>
      <c r="YM20" s="21"/>
      <c r="YN20" s="21"/>
      <c r="YO20" s="21"/>
      <c r="YP20" s="21"/>
      <c r="YQ20" s="21"/>
      <c r="YR20" s="21"/>
      <c r="YS20" s="21"/>
      <c r="YT20" s="21"/>
      <c r="YU20" s="21"/>
      <c r="YV20" s="21"/>
      <c r="YW20" s="21"/>
      <c r="YX20" s="21"/>
      <c r="YY20" s="21"/>
      <c r="YZ20" s="21"/>
      <c r="ZA20" s="21"/>
      <c r="ZB20" s="21"/>
      <c r="ZC20" s="21"/>
      <c r="ZD20" s="21"/>
      <c r="ZE20" s="21"/>
      <c r="ZF20" s="21"/>
      <c r="ZG20" s="21"/>
      <c r="ZH20" s="21"/>
      <c r="ZI20" s="21"/>
      <c r="ZJ20" s="21"/>
      <c r="ZK20" s="21"/>
      <c r="ZL20" s="21"/>
      <c r="ZM20" s="21"/>
      <c r="ZN20" s="21"/>
      <c r="ZO20" s="21"/>
      <c r="ZP20" s="21"/>
      <c r="ZQ20" s="21"/>
      <c r="ZR20" s="21"/>
      <c r="ZS20" s="21"/>
      <c r="ZT20" s="21"/>
      <c r="ZU20" s="21"/>
      <c r="ZV20" s="21"/>
      <c r="ZW20" s="21"/>
      <c r="ZX20" s="21"/>
      <c r="ZY20" s="21"/>
      <c r="ZZ20" s="21"/>
      <c r="AAA20" s="21"/>
      <c r="AAB20" s="21"/>
      <c r="AAC20" s="21"/>
      <c r="AAD20" s="21"/>
      <c r="AAE20" s="21"/>
      <c r="AAF20" s="21"/>
    </row>
    <row r="21" spans="1:708" s="22" customFormat="1" ht="70.5" customHeight="1" x14ac:dyDescent="0.25">
      <c r="A21" s="55"/>
      <c r="B21" s="55"/>
      <c r="C21" s="55"/>
      <c r="D21" s="55"/>
      <c r="E21" s="55"/>
      <c r="F21" s="55"/>
      <c r="G21" s="55"/>
      <c r="H21" s="55"/>
      <c r="I21" s="55"/>
      <c r="J21" s="55"/>
      <c r="K21" s="55"/>
      <c r="L21" s="55"/>
      <c r="M21" s="55"/>
      <c r="N21" s="55"/>
      <c r="O21" s="55"/>
      <c r="P21" s="56"/>
      <c r="Q21" s="55"/>
      <c r="R21" s="55"/>
      <c r="S21" s="56"/>
      <c r="T21" s="55"/>
      <c r="U21" s="55"/>
      <c r="V21" s="57"/>
      <c r="W21" s="57"/>
      <c r="X21" s="55"/>
      <c r="Y21" s="388" t="s">
        <v>99</v>
      </c>
      <c r="Z21" s="388"/>
      <c r="AA21" s="58">
        <f>AVERAGE(AA14:AA20)</f>
        <v>0.40175503897513276</v>
      </c>
      <c r="AB21" s="59"/>
      <c r="AC21" s="388" t="s">
        <v>100</v>
      </c>
      <c r="AD21" s="388"/>
      <c r="AE21" s="58">
        <f>AVERAGE(AE14:AE20)</f>
        <v>0.19537388562883914</v>
      </c>
      <c r="AF21" s="61"/>
      <c r="AG21" s="564" t="s">
        <v>99</v>
      </c>
      <c r="AH21" s="564"/>
      <c r="AI21" s="62">
        <v>0.43142229456995018</v>
      </c>
      <c r="AJ21" s="63"/>
      <c r="AK21" s="564" t="s">
        <v>100</v>
      </c>
      <c r="AL21" s="564"/>
      <c r="AM21" s="62">
        <v>0.23583696447739985</v>
      </c>
      <c r="AN21" s="65"/>
      <c r="AO21" s="388" t="s">
        <v>99</v>
      </c>
      <c r="AP21" s="388"/>
      <c r="AQ21" s="58">
        <f>AVERAGE(AQ14:AQ20)</f>
        <v>0.45923442648985585</v>
      </c>
      <c r="AR21" s="59"/>
      <c r="AS21" s="388" t="s">
        <v>100</v>
      </c>
      <c r="AT21" s="388"/>
      <c r="AU21" s="58">
        <f>AVERAGE(AU14:AU20)</f>
        <v>0.27793840079660842</v>
      </c>
      <c r="AV21" s="6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c r="HM21" s="21"/>
      <c r="HN21" s="21"/>
      <c r="HO21" s="21"/>
      <c r="HP21" s="21"/>
      <c r="HQ21" s="21"/>
      <c r="HR21" s="21"/>
      <c r="HS21" s="21"/>
      <c r="HT21" s="21"/>
      <c r="HU21" s="21"/>
      <c r="HV21" s="21"/>
      <c r="HW21" s="21"/>
      <c r="HX21" s="21"/>
      <c r="HY21" s="21"/>
      <c r="HZ21" s="21"/>
      <c r="IA21" s="21"/>
      <c r="IB21" s="21"/>
      <c r="IC21" s="21"/>
      <c r="ID21" s="21"/>
      <c r="IE21" s="21"/>
      <c r="IF21" s="21"/>
      <c r="IG21" s="21"/>
      <c r="IH21" s="21"/>
      <c r="II21" s="21"/>
      <c r="IJ21" s="21"/>
      <c r="IK21" s="21"/>
      <c r="IL21" s="21"/>
      <c r="IM21" s="21"/>
      <c r="IN21" s="21"/>
      <c r="IO21" s="21"/>
      <c r="IP21" s="21"/>
      <c r="IQ21" s="21"/>
      <c r="IR21" s="21"/>
      <c r="IS21" s="21"/>
      <c r="IT21" s="21"/>
      <c r="IU21" s="21"/>
      <c r="IV21" s="21"/>
      <c r="IW21" s="21"/>
      <c r="IX21" s="21"/>
      <c r="IY21" s="21"/>
      <c r="IZ21" s="21"/>
      <c r="JA21" s="21"/>
      <c r="JB21" s="21"/>
      <c r="JC21" s="21"/>
      <c r="JD21" s="21"/>
      <c r="JE21" s="21"/>
      <c r="JF21" s="21"/>
      <c r="JG21" s="21"/>
      <c r="JH21" s="21"/>
      <c r="JI21" s="21"/>
      <c r="JJ21" s="21"/>
      <c r="JK21" s="21"/>
      <c r="JL21" s="21"/>
      <c r="JM21" s="21"/>
      <c r="JN21" s="21"/>
      <c r="JO21" s="21"/>
      <c r="JP21" s="21"/>
      <c r="JQ21" s="21"/>
      <c r="JR21" s="21"/>
      <c r="JS21" s="21"/>
      <c r="JT21" s="21"/>
      <c r="JU21" s="21"/>
      <c r="JV21" s="21"/>
      <c r="JW21" s="21"/>
      <c r="JX21" s="21"/>
      <c r="JY21" s="21"/>
      <c r="JZ21" s="21"/>
      <c r="KA21" s="21"/>
      <c r="KB21" s="21"/>
      <c r="KC21" s="21"/>
      <c r="KD21" s="21"/>
      <c r="KE21" s="21"/>
      <c r="KF21" s="21"/>
      <c r="KG21" s="21"/>
      <c r="KH21" s="21"/>
      <c r="KI21" s="21"/>
      <c r="KJ21" s="21"/>
      <c r="KK21" s="21"/>
      <c r="KL21" s="21"/>
      <c r="KM21" s="21"/>
      <c r="KN21" s="21"/>
      <c r="KO21" s="21"/>
      <c r="KP21" s="21"/>
      <c r="KQ21" s="21"/>
      <c r="KR21" s="21"/>
      <c r="KS21" s="21"/>
      <c r="KT21" s="21"/>
      <c r="KU21" s="21"/>
      <c r="KV21" s="21"/>
      <c r="KW21" s="21"/>
      <c r="KX21" s="21"/>
      <c r="KY21" s="21"/>
      <c r="KZ21" s="21"/>
      <c r="LA21" s="21"/>
      <c r="LB21" s="21"/>
      <c r="LC21" s="21"/>
      <c r="LD21" s="21"/>
      <c r="LE21" s="21"/>
      <c r="LF21" s="21"/>
      <c r="LG21" s="21"/>
      <c r="LH21" s="21"/>
      <c r="LI21" s="21"/>
      <c r="LJ21" s="21"/>
      <c r="LK21" s="21"/>
      <c r="LL21" s="21"/>
      <c r="LM21" s="21"/>
      <c r="LN21" s="21"/>
      <c r="LO21" s="21"/>
      <c r="LP21" s="21"/>
      <c r="LQ21" s="21"/>
      <c r="LR21" s="21"/>
      <c r="LS21" s="21"/>
      <c r="LT21" s="21"/>
      <c r="LU21" s="21"/>
      <c r="LV21" s="21"/>
      <c r="LW21" s="21"/>
      <c r="LX21" s="21"/>
      <c r="LY21" s="21"/>
      <c r="LZ21" s="21"/>
      <c r="MA21" s="21"/>
      <c r="MB21" s="21"/>
      <c r="MC21" s="21"/>
      <c r="MD21" s="21"/>
      <c r="ME21" s="21"/>
      <c r="MF21" s="21"/>
      <c r="MG21" s="21"/>
      <c r="MH21" s="21"/>
      <c r="MI21" s="21"/>
      <c r="MJ21" s="21"/>
      <c r="MK21" s="21"/>
      <c r="ML21" s="21"/>
      <c r="MM21" s="21"/>
      <c r="MN21" s="21"/>
      <c r="MO21" s="21"/>
      <c r="MP21" s="21"/>
      <c r="MQ21" s="21"/>
      <c r="MR21" s="21"/>
      <c r="MS21" s="21"/>
      <c r="MT21" s="21"/>
      <c r="MU21" s="21"/>
      <c r="MV21" s="21"/>
      <c r="MW21" s="21"/>
      <c r="MX21" s="21"/>
      <c r="MY21" s="21"/>
      <c r="MZ21" s="21"/>
      <c r="NA21" s="21"/>
      <c r="NB21" s="21"/>
      <c r="NC21" s="21"/>
      <c r="ND21" s="21"/>
      <c r="NE21" s="21"/>
      <c r="NF21" s="21"/>
      <c r="NG21" s="21"/>
      <c r="NH21" s="21"/>
      <c r="NI21" s="21"/>
      <c r="NJ21" s="21"/>
      <c r="NK21" s="21"/>
      <c r="NL21" s="21"/>
      <c r="NM21" s="21"/>
      <c r="NN21" s="21"/>
      <c r="NO21" s="21"/>
      <c r="NP21" s="21"/>
      <c r="NQ21" s="21"/>
      <c r="NR21" s="21"/>
      <c r="NS21" s="21"/>
      <c r="NT21" s="21"/>
      <c r="NU21" s="21"/>
      <c r="NV21" s="21"/>
      <c r="NW21" s="21"/>
      <c r="NX21" s="21"/>
      <c r="NY21" s="21"/>
      <c r="NZ21" s="21"/>
      <c r="OA21" s="21"/>
      <c r="OB21" s="21"/>
      <c r="OC21" s="21"/>
      <c r="OD21" s="21"/>
      <c r="OE21" s="21"/>
      <c r="OF21" s="21"/>
      <c r="OG21" s="21"/>
      <c r="OH21" s="21"/>
      <c r="OI21" s="21"/>
      <c r="OJ21" s="21"/>
      <c r="OK21" s="21"/>
      <c r="OL21" s="21"/>
      <c r="OM21" s="21"/>
      <c r="ON21" s="21"/>
      <c r="OO21" s="21"/>
      <c r="OP21" s="21"/>
      <c r="OQ21" s="21"/>
      <c r="OR21" s="21"/>
      <c r="OS21" s="21"/>
      <c r="OT21" s="21"/>
      <c r="OU21" s="21"/>
      <c r="OV21" s="21"/>
      <c r="OW21" s="21"/>
      <c r="OX21" s="21"/>
      <c r="OY21" s="21"/>
      <c r="OZ21" s="21"/>
      <c r="PA21" s="21"/>
      <c r="PB21" s="21"/>
      <c r="PC21" s="21"/>
      <c r="PD21" s="21"/>
      <c r="PE21" s="21"/>
      <c r="PF21" s="21"/>
      <c r="PG21" s="21"/>
      <c r="PH21" s="21"/>
      <c r="PI21" s="21"/>
      <c r="PJ21" s="21"/>
      <c r="PK21" s="21"/>
      <c r="PL21" s="21"/>
      <c r="PM21" s="21"/>
      <c r="PN21" s="21"/>
      <c r="PO21" s="21"/>
      <c r="PP21" s="21"/>
      <c r="PQ21" s="21"/>
      <c r="PR21" s="21"/>
      <c r="PS21" s="21"/>
      <c r="PT21" s="21"/>
      <c r="PU21" s="21"/>
      <c r="PV21" s="21"/>
      <c r="PW21" s="21"/>
      <c r="PX21" s="21"/>
      <c r="PY21" s="21"/>
      <c r="PZ21" s="21"/>
      <c r="QA21" s="21"/>
      <c r="QB21" s="21"/>
      <c r="QC21" s="21"/>
      <c r="QD21" s="21"/>
      <c r="QE21" s="21"/>
      <c r="QF21" s="21"/>
      <c r="QG21" s="21"/>
      <c r="QH21" s="21"/>
      <c r="QI21" s="21"/>
      <c r="QJ21" s="21"/>
      <c r="QK21" s="21"/>
      <c r="QL21" s="21"/>
      <c r="QM21" s="21"/>
      <c r="QN21" s="21"/>
      <c r="QO21" s="21"/>
      <c r="QP21" s="21"/>
      <c r="QQ21" s="21"/>
      <c r="QR21" s="21"/>
      <c r="QS21" s="21"/>
      <c r="QT21" s="21"/>
      <c r="QU21" s="21"/>
      <c r="QV21" s="21"/>
      <c r="QW21" s="21"/>
      <c r="QX21" s="21"/>
      <c r="QY21" s="21"/>
      <c r="QZ21" s="21"/>
      <c r="RA21" s="21"/>
      <c r="RB21" s="21"/>
      <c r="RC21" s="21"/>
      <c r="RD21" s="21"/>
      <c r="RE21" s="21"/>
      <c r="RF21" s="21"/>
      <c r="RG21" s="21"/>
      <c r="RH21" s="21"/>
      <c r="RI21" s="21"/>
      <c r="RJ21" s="21"/>
      <c r="RK21" s="21"/>
      <c r="RL21" s="21"/>
      <c r="RM21" s="21"/>
      <c r="RN21" s="21"/>
      <c r="RO21" s="21"/>
      <c r="RP21" s="21"/>
      <c r="RQ21" s="21"/>
      <c r="RR21" s="21"/>
      <c r="RS21" s="21"/>
      <c r="RT21" s="21"/>
      <c r="RU21" s="21"/>
      <c r="RV21" s="21"/>
      <c r="RW21" s="21"/>
      <c r="RX21" s="21"/>
      <c r="RY21" s="21"/>
      <c r="RZ21" s="21"/>
      <c r="SA21" s="21"/>
      <c r="SB21" s="21"/>
      <c r="SC21" s="21"/>
      <c r="SD21" s="21"/>
      <c r="SE21" s="21"/>
      <c r="SF21" s="21"/>
      <c r="SG21" s="21"/>
      <c r="SH21" s="21"/>
      <c r="SI21" s="21"/>
      <c r="SJ21" s="21"/>
      <c r="SK21" s="21"/>
      <c r="SL21" s="21"/>
      <c r="SM21" s="21"/>
      <c r="SN21" s="21"/>
      <c r="SO21" s="21"/>
      <c r="SP21" s="21"/>
      <c r="SQ21" s="21"/>
      <c r="SR21" s="21"/>
      <c r="SS21" s="21"/>
      <c r="ST21" s="21"/>
      <c r="SU21" s="21"/>
      <c r="SV21" s="21"/>
      <c r="SW21" s="21"/>
      <c r="SX21" s="21"/>
      <c r="SY21" s="21"/>
      <c r="SZ21" s="21"/>
      <c r="TA21" s="21"/>
      <c r="TB21" s="21"/>
      <c r="TC21" s="21"/>
      <c r="TD21" s="21"/>
      <c r="TE21" s="21"/>
      <c r="TF21" s="21"/>
      <c r="TG21" s="21"/>
      <c r="TH21" s="21"/>
      <c r="TI21" s="21"/>
      <c r="TJ21" s="21"/>
      <c r="TK21" s="21"/>
      <c r="TL21" s="21"/>
      <c r="TM21" s="21"/>
      <c r="TN21" s="21"/>
      <c r="TO21" s="21"/>
      <c r="TP21" s="21"/>
      <c r="TQ21" s="21"/>
      <c r="TR21" s="21"/>
      <c r="TS21" s="21"/>
      <c r="TT21" s="21"/>
      <c r="TU21" s="21"/>
      <c r="TV21" s="21"/>
      <c r="TW21" s="21"/>
      <c r="TX21" s="21"/>
      <c r="TY21" s="21"/>
      <c r="TZ21" s="21"/>
      <c r="UA21" s="21"/>
      <c r="UB21" s="21"/>
      <c r="UC21" s="21"/>
      <c r="UD21" s="21"/>
      <c r="UE21" s="21"/>
      <c r="UF21" s="21"/>
      <c r="UG21" s="21"/>
      <c r="UH21" s="21"/>
      <c r="UI21" s="21"/>
      <c r="UJ21" s="21"/>
      <c r="UK21" s="21"/>
      <c r="UL21" s="21"/>
      <c r="UM21" s="21"/>
      <c r="UN21" s="21"/>
      <c r="UO21" s="21"/>
      <c r="UP21" s="21"/>
      <c r="UQ21" s="21"/>
      <c r="UR21" s="21"/>
      <c r="US21" s="21"/>
      <c r="UT21" s="21"/>
      <c r="UU21" s="21"/>
      <c r="UV21" s="21"/>
      <c r="UW21" s="21"/>
      <c r="UX21" s="21"/>
      <c r="UY21" s="21"/>
      <c r="UZ21" s="21"/>
      <c r="VA21" s="21"/>
      <c r="VB21" s="21"/>
      <c r="VC21" s="21"/>
      <c r="VD21" s="21"/>
      <c r="VE21" s="21"/>
      <c r="VF21" s="21"/>
      <c r="VG21" s="21"/>
      <c r="VH21" s="21"/>
      <c r="VI21" s="21"/>
      <c r="VJ21" s="21"/>
      <c r="VK21" s="21"/>
      <c r="VL21" s="21"/>
      <c r="VM21" s="21"/>
      <c r="VN21" s="21"/>
      <c r="VO21" s="21"/>
      <c r="VP21" s="21"/>
      <c r="VQ21" s="21"/>
      <c r="VR21" s="21"/>
      <c r="VS21" s="21"/>
      <c r="VT21" s="21"/>
      <c r="VU21" s="21"/>
      <c r="VV21" s="21"/>
      <c r="VW21" s="21"/>
      <c r="VX21" s="21"/>
      <c r="VY21" s="21"/>
      <c r="VZ21" s="21"/>
      <c r="WA21" s="21"/>
      <c r="WB21" s="21"/>
      <c r="WC21" s="21"/>
      <c r="WD21" s="21"/>
      <c r="WE21" s="21"/>
      <c r="WF21" s="21"/>
      <c r="WG21" s="21"/>
      <c r="WH21" s="21"/>
      <c r="WI21" s="21"/>
      <c r="WJ21" s="21"/>
      <c r="WK21" s="21"/>
      <c r="WL21" s="21"/>
      <c r="WM21" s="21"/>
      <c r="WN21" s="21"/>
      <c r="WO21" s="21"/>
      <c r="WP21" s="21"/>
      <c r="WQ21" s="21"/>
      <c r="WR21" s="21"/>
      <c r="WS21" s="21"/>
      <c r="WT21" s="21"/>
      <c r="WU21" s="21"/>
      <c r="WV21" s="21"/>
      <c r="WW21" s="21"/>
      <c r="WX21" s="21"/>
      <c r="WY21" s="21"/>
      <c r="WZ21" s="21"/>
      <c r="XA21" s="21"/>
      <c r="XB21" s="21"/>
      <c r="XC21" s="21"/>
      <c r="XD21" s="21"/>
      <c r="XE21" s="21"/>
      <c r="XF21" s="21"/>
      <c r="XG21" s="21"/>
      <c r="XH21" s="21"/>
      <c r="XI21" s="21"/>
      <c r="XJ21" s="21"/>
      <c r="XK21" s="21"/>
      <c r="XL21" s="21"/>
      <c r="XM21" s="21"/>
      <c r="XN21" s="21"/>
      <c r="XO21" s="21"/>
      <c r="XP21" s="21"/>
      <c r="XQ21" s="21"/>
      <c r="XR21" s="21"/>
      <c r="XS21" s="21"/>
      <c r="XT21" s="21"/>
      <c r="XU21" s="21"/>
      <c r="XV21" s="21"/>
      <c r="XW21" s="21"/>
      <c r="XX21" s="21"/>
      <c r="XY21" s="21"/>
      <c r="XZ21" s="21"/>
      <c r="YA21" s="21"/>
      <c r="YB21" s="21"/>
      <c r="YC21" s="21"/>
      <c r="YD21" s="21"/>
      <c r="YE21" s="21"/>
      <c r="YF21" s="21"/>
      <c r="YG21" s="21"/>
      <c r="YH21" s="21"/>
      <c r="YI21" s="21"/>
      <c r="YJ21" s="21"/>
      <c r="YK21" s="21"/>
      <c r="YL21" s="21"/>
      <c r="YM21" s="21"/>
      <c r="YN21" s="21"/>
      <c r="YO21" s="21"/>
      <c r="YP21" s="21"/>
      <c r="YQ21" s="21"/>
      <c r="YR21" s="21"/>
      <c r="YS21" s="21"/>
      <c r="YT21" s="21"/>
      <c r="YU21" s="21"/>
      <c r="YV21" s="21"/>
      <c r="YW21" s="21"/>
      <c r="YX21" s="21"/>
      <c r="YY21" s="21"/>
      <c r="YZ21" s="21"/>
      <c r="ZA21" s="21"/>
      <c r="ZB21" s="21"/>
      <c r="ZC21" s="21"/>
      <c r="ZD21" s="21"/>
      <c r="ZE21" s="21"/>
      <c r="ZF21" s="21"/>
      <c r="ZG21" s="21"/>
      <c r="ZH21" s="21"/>
      <c r="ZI21" s="21"/>
      <c r="ZJ21" s="21"/>
      <c r="ZK21" s="21"/>
      <c r="ZL21" s="21"/>
      <c r="ZM21" s="21"/>
      <c r="ZN21" s="21"/>
      <c r="ZO21" s="21"/>
      <c r="ZP21" s="21"/>
      <c r="ZQ21" s="21"/>
      <c r="ZR21" s="21"/>
      <c r="ZS21" s="21"/>
      <c r="ZT21" s="21"/>
      <c r="ZU21" s="21"/>
      <c r="ZV21" s="21"/>
      <c r="ZW21" s="21"/>
      <c r="ZX21" s="21"/>
      <c r="ZY21" s="21"/>
      <c r="ZZ21" s="21"/>
      <c r="AAA21" s="21"/>
      <c r="AAB21" s="21"/>
      <c r="AAC21" s="21"/>
      <c r="AAD21" s="21"/>
      <c r="AAE21" s="21"/>
      <c r="AAF21" s="21"/>
    </row>
    <row r="22" spans="1:708" ht="70.5" customHeight="1" x14ac:dyDescent="0.25">
      <c r="A22" s="504" t="s">
        <v>43</v>
      </c>
      <c r="B22" s="558" t="s">
        <v>44</v>
      </c>
      <c r="C22" s="507" t="s">
        <v>45</v>
      </c>
      <c r="D22" s="507" t="s">
        <v>46</v>
      </c>
      <c r="E22" s="507" t="s">
        <v>47</v>
      </c>
      <c r="F22" s="507" t="s">
        <v>48</v>
      </c>
      <c r="G22" s="507" t="s">
        <v>49</v>
      </c>
      <c r="H22" s="507" t="s">
        <v>50</v>
      </c>
      <c r="I22" s="560" t="s">
        <v>51</v>
      </c>
      <c r="J22" s="391" t="s">
        <v>52</v>
      </c>
      <c r="K22" s="391" t="s">
        <v>143</v>
      </c>
      <c r="L22" s="391" t="s">
        <v>54</v>
      </c>
      <c r="M22" s="391" t="s">
        <v>55</v>
      </c>
      <c r="N22" s="391" t="s">
        <v>56</v>
      </c>
      <c r="O22" s="391"/>
      <c r="P22" s="391">
        <v>57</v>
      </c>
      <c r="Q22" s="66" t="s">
        <v>57</v>
      </c>
      <c r="R22" s="66" t="s">
        <v>58</v>
      </c>
      <c r="S22" s="67" t="s">
        <v>56</v>
      </c>
      <c r="T22" s="67"/>
      <c r="U22" s="67">
        <v>46</v>
      </c>
      <c r="V22" s="582">
        <v>2383477753</v>
      </c>
      <c r="W22" s="582">
        <v>64326892613</v>
      </c>
      <c r="X22" s="67" t="s">
        <v>144</v>
      </c>
      <c r="Y22" s="391">
        <v>2</v>
      </c>
      <c r="Z22" s="391">
        <f>+P22</f>
        <v>57</v>
      </c>
      <c r="AA22" s="392">
        <f>+Y22/Z22</f>
        <v>3.5087719298245612E-2</v>
      </c>
      <c r="AB22" s="391" t="s">
        <v>145</v>
      </c>
      <c r="AC22" s="67">
        <v>1</v>
      </c>
      <c r="AD22" s="67">
        <f t="shared" ref="AD22:AD28" si="2">+U22</f>
        <v>46</v>
      </c>
      <c r="AE22" s="68">
        <f>+AC22/AD22</f>
        <v>2.1739130434782608E-2</v>
      </c>
      <c r="AF22" s="67" t="s">
        <v>146</v>
      </c>
      <c r="AG22" s="562">
        <v>4</v>
      </c>
      <c r="AH22" s="562">
        <v>57</v>
      </c>
      <c r="AI22" s="563">
        <v>7.0175438596491224E-2</v>
      </c>
      <c r="AJ22" s="562" t="s">
        <v>147</v>
      </c>
      <c r="AK22" s="69">
        <v>7</v>
      </c>
      <c r="AL22" s="69">
        <v>46</v>
      </c>
      <c r="AM22" s="70">
        <v>0.15217391304347827</v>
      </c>
      <c r="AN22" s="69" t="s">
        <v>148</v>
      </c>
      <c r="AO22" s="562">
        <v>7</v>
      </c>
      <c r="AP22" s="562">
        <f>+P22</f>
        <v>57</v>
      </c>
      <c r="AQ22" s="563">
        <f>+AO22/AP22</f>
        <v>0.12280701754385964</v>
      </c>
      <c r="AR22" s="562" t="s">
        <v>149</v>
      </c>
      <c r="AS22" s="69">
        <v>8</v>
      </c>
      <c r="AT22" s="69">
        <f t="shared" ref="AT22:AT28" si="3">+U22</f>
        <v>46</v>
      </c>
      <c r="AU22" s="70">
        <f>+AS22/AT22</f>
        <v>0.17391304347826086</v>
      </c>
      <c r="AV22" s="69" t="s">
        <v>150</v>
      </c>
    </row>
    <row r="23" spans="1:708" ht="70.5" customHeight="1" x14ac:dyDescent="0.25">
      <c r="A23" s="504"/>
      <c r="B23" s="559"/>
      <c r="C23" s="508"/>
      <c r="D23" s="508"/>
      <c r="E23" s="508"/>
      <c r="F23" s="508"/>
      <c r="G23" s="508"/>
      <c r="H23" s="508"/>
      <c r="I23" s="561"/>
      <c r="J23" s="391"/>
      <c r="K23" s="391"/>
      <c r="L23" s="391"/>
      <c r="M23" s="391"/>
      <c r="N23" s="391"/>
      <c r="O23" s="391"/>
      <c r="P23" s="391"/>
      <c r="Q23" s="73" t="s">
        <v>66</v>
      </c>
      <c r="R23" s="73" t="s">
        <v>67</v>
      </c>
      <c r="S23" s="74" t="s">
        <v>56</v>
      </c>
      <c r="T23" s="74"/>
      <c r="U23" s="74">
        <v>59</v>
      </c>
      <c r="V23" s="582"/>
      <c r="W23" s="582"/>
      <c r="X23" s="74" t="s">
        <v>144</v>
      </c>
      <c r="Y23" s="391"/>
      <c r="Z23" s="391"/>
      <c r="AA23" s="392"/>
      <c r="AB23" s="391"/>
      <c r="AC23" s="74">
        <v>0</v>
      </c>
      <c r="AD23" s="74">
        <f t="shared" si="2"/>
        <v>59</v>
      </c>
      <c r="AE23" s="76">
        <f>+AC23/AD23</f>
        <v>0</v>
      </c>
      <c r="AF23" s="74" t="s">
        <v>151</v>
      </c>
      <c r="AG23" s="562"/>
      <c r="AH23" s="562"/>
      <c r="AI23" s="563"/>
      <c r="AJ23" s="562"/>
      <c r="AK23" s="77">
        <v>3</v>
      </c>
      <c r="AL23" s="77">
        <v>59</v>
      </c>
      <c r="AM23" s="78">
        <v>5.0847457627118647E-2</v>
      </c>
      <c r="AN23" s="77" t="s">
        <v>152</v>
      </c>
      <c r="AO23" s="562"/>
      <c r="AP23" s="562"/>
      <c r="AQ23" s="563"/>
      <c r="AR23" s="562"/>
      <c r="AS23" s="77">
        <v>6</v>
      </c>
      <c r="AT23" s="77">
        <f t="shared" si="3"/>
        <v>59</v>
      </c>
      <c r="AU23" s="78">
        <f>+AS23/AT23</f>
        <v>0.10169491525423729</v>
      </c>
      <c r="AV23" s="77" t="s">
        <v>153</v>
      </c>
    </row>
    <row r="24" spans="1:708" ht="69.75" customHeight="1" x14ac:dyDescent="0.25">
      <c r="A24" s="490" t="s">
        <v>43</v>
      </c>
      <c r="B24" s="566" t="s">
        <v>44</v>
      </c>
      <c r="C24" s="567" t="s">
        <v>45</v>
      </c>
      <c r="D24" s="567" t="s">
        <v>46</v>
      </c>
      <c r="E24" s="567" t="s">
        <v>71</v>
      </c>
      <c r="F24" s="567" t="s">
        <v>48</v>
      </c>
      <c r="G24" s="567" t="s">
        <v>49</v>
      </c>
      <c r="H24" s="567" t="s">
        <v>50</v>
      </c>
      <c r="I24" s="577" t="s">
        <v>51</v>
      </c>
      <c r="J24" s="390" t="s">
        <v>52</v>
      </c>
      <c r="K24" s="390" t="s">
        <v>143</v>
      </c>
      <c r="L24" s="390" t="s">
        <v>72</v>
      </c>
      <c r="M24" s="390" t="s">
        <v>112</v>
      </c>
      <c r="N24" s="390" t="s">
        <v>74</v>
      </c>
      <c r="O24" s="390"/>
      <c r="P24" s="389">
        <v>0.89</v>
      </c>
      <c r="Q24" s="66" t="s">
        <v>113</v>
      </c>
      <c r="R24" s="66" t="s">
        <v>114</v>
      </c>
      <c r="S24" s="67" t="s">
        <v>74</v>
      </c>
      <c r="T24" s="67"/>
      <c r="U24" s="82">
        <v>0.89</v>
      </c>
      <c r="V24" s="585">
        <v>956016394</v>
      </c>
      <c r="W24" s="582"/>
      <c r="X24" s="67" t="s">
        <v>144</v>
      </c>
      <c r="Y24" s="392">
        <f>3/3</f>
        <v>1</v>
      </c>
      <c r="Z24" s="576">
        <f>+P24</f>
        <v>0.89</v>
      </c>
      <c r="AA24" s="576">
        <f>Y24/Z24</f>
        <v>1.1235955056179776</v>
      </c>
      <c r="AB24" s="391" t="s">
        <v>154</v>
      </c>
      <c r="AC24" s="68">
        <f>1/1</f>
        <v>1</v>
      </c>
      <c r="AD24" s="82">
        <f t="shared" si="2"/>
        <v>0.89</v>
      </c>
      <c r="AE24" s="68">
        <f>+AC24/AD24</f>
        <v>1.1235955056179776</v>
      </c>
      <c r="AF24" s="67" t="s">
        <v>155</v>
      </c>
      <c r="AG24" s="563">
        <v>1</v>
      </c>
      <c r="AH24" s="573">
        <v>0.89</v>
      </c>
      <c r="AI24" s="573">
        <v>1.1235955056179776</v>
      </c>
      <c r="AJ24" s="562" t="s">
        <v>156</v>
      </c>
      <c r="AK24" s="70">
        <v>1</v>
      </c>
      <c r="AL24" s="84">
        <v>0.89</v>
      </c>
      <c r="AM24" s="70">
        <v>1.1235955056179776</v>
      </c>
      <c r="AN24" s="69" t="s">
        <v>157</v>
      </c>
      <c r="AO24" s="563">
        <f>7/7</f>
        <v>1</v>
      </c>
      <c r="AP24" s="573">
        <f>+P24</f>
        <v>0.89</v>
      </c>
      <c r="AQ24" s="573">
        <f>AO24/AP24</f>
        <v>1.1235955056179776</v>
      </c>
      <c r="AR24" s="562" t="s">
        <v>158</v>
      </c>
      <c r="AS24" s="70">
        <f>8/8</f>
        <v>1</v>
      </c>
      <c r="AT24" s="84">
        <f t="shared" si="3"/>
        <v>0.89</v>
      </c>
      <c r="AU24" s="70">
        <f>+AS24/AT24</f>
        <v>1.1235955056179776</v>
      </c>
      <c r="AV24" s="69" t="s">
        <v>159</v>
      </c>
    </row>
    <row r="25" spans="1:708" ht="70.5" customHeight="1" x14ac:dyDescent="0.25">
      <c r="A25" s="491"/>
      <c r="B25" s="566"/>
      <c r="C25" s="568"/>
      <c r="D25" s="568"/>
      <c r="E25" s="568"/>
      <c r="F25" s="568"/>
      <c r="G25" s="568"/>
      <c r="H25" s="568"/>
      <c r="I25" s="578"/>
      <c r="J25" s="390"/>
      <c r="K25" s="390"/>
      <c r="L25" s="390"/>
      <c r="M25" s="390"/>
      <c r="N25" s="390"/>
      <c r="O25" s="390"/>
      <c r="P25" s="389"/>
      <c r="Q25" s="73" t="s">
        <v>121</v>
      </c>
      <c r="R25" s="73" t="s">
        <v>122</v>
      </c>
      <c r="S25" s="74" t="s">
        <v>74</v>
      </c>
      <c r="T25" s="74"/>
      <c r="U25" s="85">
        <v>0.89</v>
      </c>
      <c r="V25" s="585"/>
      <c r="W25" s="582"/>
      <c r="X25" s="74" t="s">
        <v>144</v>
      </c>
      <c r="Y25" s="392"/>
      <c r="Z25" s="391"/>
      <c r="AA25" s="391"/>
      <c r="AB25" s="391"/>
      <c r="AC25" s="76">
        <f>0/1</f>
        <v>0</v>
      </c>
      <c r="AD25" s="85">
        <f t="shared" si="2"/>
        <v>0.89</v>
      </c>
      <c r="AE25" s="76">
        <f>+AC25/AD25</f>
        <v>0</v>
      </c>
      <c r="AF25" s="74" t="s">
        <v>160</v>
      </c>
      <c r="AG25" s="563"/>
      <c r="AH25" s="562"/>
      <c r="AI25" s="562"/>
      <c r="AJ25" s="562"/>
      <c r="AK25" s="78">
        <v>0.25</v>
      </c>
      <c r="AL25" s="86">
        <v>0.89</v>
      </c>
      <c r="AM25" s="78">
        <v>0.2808988764044944</v>
      </c>
      <c r="AN25" s="77" t="s">
        <v>161</v>
      </c>
      <c r="AO25" s="563"/>
      <c r="AP25" s="562"/>
      <c r="AQ25" s="562"/>
      <c r="AR25" s="562"/>
      <c r="AS25" s="78">
        <f>1/7</f>
        <v>0.14285714285714285</v>
      </c>
      <c r="AT25" s="86">
        <f t="shared" si="3"/>
        <v>0.89</v>
      </c>
      <c r="AU25" s="78">
        <f>+AS25/AT25</f>
        <v>0.16051364365971107</v>
      </c>
      <c r="AV25" s="77" t="s">
        <v>162</v>
      </c>
    </row>
    <row r="26" spans="1:708" ht="70.5" customHeight="1" x14ac:dyDescent="0.25">
      <c r="A26" s="504" t="s">
        <v>43</v>
      </c>
      <c r="B26" s="505" t="s">
        <v>44</v>
      </c>
      <c r="C26" s="507" t="s">
        <v>45</v>
      </c>
      <c r="D26" s="507" t="s">
        <v>46</v>
      </c>
      <c r="E26" s="507" t="s">
        <v>47</v>
      </c>
      <c r="F26" s="507" t="s">
        <v>48</v>
      </c>
      <c r="G26" s="507" t="s">
        <v>49</v>
      </c>
      <c r="H26" s="507" t="s">
        <v>50</v>
      </c>
      <c r="I26" s="560" t="s">
        <v>78</v>
      </c>
      <c r="J26" s="391" t="s">
        <v>52</v>
      </c>
      <c r="K26" s="391" t="s">
        <v>143</v>
      </c>
      <c r="L26" s="391" t="s">
        <v>79</v>
      </c>
      <c r="M26" s="391" t="s">
        <v>80</v>
      </c>
      <c r="N26" s="391" t="s">
        <v>56</v>
      </c>
      <c r="O26" s="391"/>
      <c r="P26" s="391">
        <v>285</v>
      </c>
      <c r="Q26" s="88" t="s">
        <v>81</v>
      </c>
      <c r="R26" s="88" t="s">
        <v>82</v>
      </c>
      <c r="S26" s="88" t="s">
        <v>56</v>
      </c>
      <c r="T26" s="88"/>
      <c r="U26" s="87">
        <v>240</v>
      </c>
      <c r="V26" s="583">
        <v>7000961415</v>
      </c>
      <c r="W26" s="582"/>
      <c r="X26" s="67" t="s">
        <v>144</v>
      </c>
      <c r="Y26" s="584">
        <v>9</v>
      </c>
      <c r="Z26" s="584">
        <f>+P26</f>
        <v>285</v>
      </c>
      <c r="AA26" s="581">
        <f>Y26/Z26</f>
        <v>3.1578947368421054E-2</v>
      </c>
      <c r="AB26" s="391" t="s">
        <v>163</v>
      </c>
      <c r="AC26" s="87">
        <v>29</v>
      </c>
      <c r="AD26" s="87">
        <f t="shared" si="2"/>
        <v>240</v>
      </c>
      <c r="AE26" s="90">
        <f>AC26/AD26</f>
        <v>0.12083333333333333</v>
      </c>
      <c r="AF26" s="67" t="s">
        <v>164</v>
      </c>
      <c r="AG26" s="586">
        <v>27</v>
      </c>
      <c r="AH26" s="586">
        <v>285</v>
      </c>
      <c r="AI26" s="587">
        <v>9.4736842105263161E-2</v>
      </c>
      <c r="AJ26" s="562" t="s">
        <v>165</v>
      </c>
      <c r="AK26" s="91">
        <v>41</v>
      </c>
      <c r="AL26" s="91">
        <v>240</v>
      </c>
      <c r="AM26" s="92">
        <v>0.17083333333333334</v>
      </c>
      <c r="AN26" s="69" t="s">
        <v>166</v>
      </c>
      <c r="AO26" s="586">
        <v>35</v>
      </c>
      <c r="AP26" s="586">
        <f>+P26</f>
        <v>285</v>
      </c>
      <c r="AQ26" s="587">
        <f>AO26/AP26</f>
        <v>0.12280701754385964</v>
      </c>
      <c r="AR26" s="562" t="s">
        <v>167</v>
      </c>
      <c r="AS26" s="91">
        <v>65</v>
      </c>
      <c r="AT26" s="91">
        <f t="shared" si="3"/>
        <v>240</v>
      </c>
      <c r="AU26" s="92">
        <f>AS26/AT26</f>
        <v>0.27083333333333331</v>
      </c>
      <c r="AV26" s="69" t="s">
        <v>168</v>
      </c>
    </row>
    <row r="27" spans="1:708" ht="70.5" customHeight="1" x14ac:dyDescent="0.25">
      <c r="A27" s="504"/>
      <c r="B27" s="506"/>
      <c r="C27" s="571"/>
      <c r="D27" s="571"/>
      <c r="E27" s="571"/>
      <c r="F27" s="571"/>
      <c r="G27" s="571"/>
      <c r="H27" s="571"/>
      <c r="I27" s="572"/>
      <c r="J27" s="391"/>
      <c r="K27" s="391"/>
      <c r="L27" s="391"/>
      <c r="M27" s="391"/>
      <c r="N27" s="391"/>
      <c r="O27" s="391"/>
      <c r="P27" s="391"/>
      <c r="Q27" s="73" t="s">
        <v>133</v>
      </c>
      <c r="R27" s="73" t="s">
        <v>134</v>
      </c>
      <c r="S27" s="74" t="s">
        <v>56</v>
      </c>
      <c r="T27" s="73"/>
      <c r="U27" s="74">
        <v>244</v>
      </c>
      <c r="V27" s="583"/>
      <c r="W27" s="582"/>
      <c r="X27" s="74" t="s">
        <v>144</v>
      </c>
      <c r="Y27" s="584"/>
      <c r="Z27" s="584"/>
      <c r="AA27" s="581"/>
      <c r="AB27" s="391"/>
      <c r="AC27" s="74">
        <v>1</v>
      </c>
      <c r="AD27" s="74">
        <f t="shared" si="2"/>
        <v>244</v>
      </c>
      <c r="AE27" s="76">
        <f>AC27/AD27</f>
        <v>4.0983606557377051E-3</v>
      </c>
      <c r="AF27" s="74" t="s">
        <v>169</v>
      </c>
      <c r="AG27" s="586"/>
      <c r="AH27" s="586"/>
      <c r="AI27" s="587"/>
      <c r="AJ27" s="562"/>
      <c r="AK27" s="77">
        <v>17</v>
      </c>
      <c r="AL27" s="77">
        <v>244</v>
      </c>
      <c r="AM27" s="78">
        <v>6.9672131147540978E-2</v>
      </c>
      <c r="AN27" s="77" t="s">
        <v>170</v>
      </c>
      <c r="AO27" s="586"/>
      <c r="AP27" s="586"/>
      <c r="AQ27" s="587"/>
      <c r="AR27" s="562"/>
      <c r="AS27" s="77">
        <v>44</v>
      </c>
      <c r="AT27" s="77">
        <f t="shared" si="3"/>
        <v>244</v>
      </c>
      <c r="AU27" s="78">
        <f>AS27/AT27</f>
        <v>0.18032786885245902</v>
      </c>
      <c r="AV27" s="77" t="s">
        <v>171</v>
      </c>
    </row>
    <row r="28" spans="1:708" ht="70.5" customHeight="1" x14ac:dyDescent="0.25">
      <c r="A28" s="504"/>
      <c r="B28" s="506"/>
      <c r="C28" s="571"/>
      <c r="D28" s="571"/>
      <c r="E28" s="571"/>
      <c r="F28" s="571"/>
      <c r="G28" s="571"/>
      <c r="H28" s="571"/>
      <c r="I28" s="572"/>
      <c r="J28" s="391"/>
      <c r="K28" s="391"/>
      <c r="L28" s="391"/>
      <c r="M28" s="391"/>
      <c r="N28" s="391"/>
      <c r="O28" s="391"/>
      <c r="P28" s="391"/>
      <c r="Q28" s="88" t="s">
        <v>138</v>
      </c>
      <c r="R28" s="66" t="s">
        <v>139</v>
      </c>
      <c r="S28" s="87" t="s">
        <v>56</v>
      </c>
      <c r="T28" s="88"/>
      <c r="U28" s="87">
        <v>26</v>
      </c>
      <c r="V28" s="583"/>
      <c r="W28" s="582"/>
      <c r="X28" s="67" t="s">
        <v>144</v>
      </c>
      <c r="Y28" s="584"/>
      <c r="Z28" s="584"/>
      <c r="AA28" s="581"/>
      <c r="AB28" s="391"/>
      <c r="AC28" s="87">
        <v>1</v>
      </c>
      <c r="AD28" s="87">
        <f t="shared" si="2"/>
        <v>26</v>
      </c>
      <c r="AE28" s="90">
        <f>AC28/AD28</f>
        <v>3.8461538461538464E-2</v>
      </c>
      <c r="AF28" s="67" t="s">
        <v>172</v>
      </c>
      <c r="AG28" s="586"/>
      <c r="AH28" s="586"/>
      <c r="AI28" s="587"/>
      <c r="AJ28" s="562"/>
      <c r="AK28" s="91">
        <v>6</v>
      </c>
      <c r="AL28" s="91">
        <v>26</v>
      </c>
      <c r="AM28" s="92">
        <v>0.23076923076923078</v>
      </c>
      <c r="AN28" s="69" t="s">
        <v>173</v>
      </c>
      <c r="AO28" s="586"/>
      <c r="AP28" s="586"/>
      <c r="AQ28" s="587"/>
      <c r="AR28" s="562"/>
      <c r="AS28" s="91">
        <v>7</v>
      </c>
      <c r="AT28" s="91">
        <f t="shared" si="3"/>
        <v>26</v>
      </c>
      <c r="AU28" s="92">
        <f>AS28/AT28</f>
        <v>0.26923076923076922</v>
      </c>
      <c r="AV28" s="69" t="s">
        <v>174</v>
      </c>
    </row>
    <row r="29" spans="1:708" s="22" customFormat="1" ht="70.5" customHeight="1" x14ac:dyDescent="0.25">
      <c r="A29" s="55"/>
      <c r="B29" s="55"/>
      <c r="C29" s="55"/>
      <c r="D29" s="55"/>
      <c r="E29" s="55"/>
      <c r="F29" s="55"/>
      <c r="G29" s="55"/>
      <c r="H29" s="55"/>
      <c r="I29" s="55"/>
      <c r="J29" s="55"/>
      <c r="K29" s="55"/>
      <c r="L29" s="55"/>
      <c r="M29" s="55"/>
      <c r="N29" s="55"/>
      <c r="O29" s="55"/>
      <c r="P29" s="56"/>
      <c r="Q29" s="55"/>
      <c r="R29" s="55"/>
      <c r="S29" s="56"/>
      <c r="T29" s="55"/>
      <c r="U29" s="55"/>
      <c r="V29" s="57"/>
      <c r="W29" s="57"/>
      <c r="X29" s="55"/>
      <c r="Y29" s="388" t="s">
        <v>99</v>
      </c>
      <c r="Z29" s="388"/>
      <c r="AA29" s="58">
        <f>AVERAGE(AA22:AA28)</f>
        <v>0.39675405742821485</v>
      </c>
      <c r="AB29" s="59"/>
      <c r="AC29" s="388" t="s">
        <v>100</v>
      </c>
      <c r="AD29" s="388"/>
      <c r="AE29" s="58">
        <f>AVERAGE(AE22:AE28)</f>
        <v>0.18696112407190998</v>
      </c>
      <c r="AF29" s="61"/>
      <c r="AG29" s="564" t="s">
        <v>99</v>
      </c>
      <c r="AH29" s="564"/>
      <c r="AI29" s="62">
        <v>0.42950259543991071</v>
      </c>
      <c r="AJ29" s="63"/>
      <c r="AK29" s="564" t="s">
        <v>100</v>
      </c>
      <c r="AL29" s="564"/>
      <c r="AM29" s="62">
        <v>0.29697006399188203</v>
      </c>
      <c r="AN29" s="65"/>
      <c r="AO29" s="388" t="s">
        <v>99</v>
      </c>
      <c r="AP29" s="388"/>
      <c r="AQ29" s="58">
        <f>AVERAGE(AQ22:AQ28)</f>
        <v>0.45640318023523224</v>
      </c>
      <c r="AR29" s="59"/>
      <c r="AS29" s="388" t="s">
        <v>100</v>
      </c>
      <c r="AT29" s="388"/>
      <c r="AU29" s="58">
        <f>AVERAGE(AU22:AU28)</f>
        <v>0.32572986848953545</v>
      </c>
      <c r="AV29" s="6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c r="GJ29" s="21"/>
      <c r="GK29" s="21"/>
      <c r="GL29" s="21"/>
      <c r="GM29" s="21"/>
      <c r="GN29" s="21"/>
      <c r="GO29" s="21"/>
      <c r="GP29" s="21"/>
      <c r="GQ29" s="21"/>
      <c r="GR29" s="21"/>
      <c r="GS29" s="21"/>
      <c r="GT29" s="21"/>
      <c r="GU29" s="21"/>
      <c r="GV29" s="21"/>
      <c r="GW29" s="21"/>
      <c r="GX29" s="21"/>
      <c r="GY29" s="21"/>
      <c r="GZ29" s="21"/>
      <c r="HA29" s="21"/>
      <c r="HB29" s="21"/>
      <c r="HC29" s="21"/>
      <c r="HD29" s="21"/>
      <c r="HE29" s="21"/>
      <c r="HF29" s="21"/>
      <c r="HG29" s="21"/>
      <c r="HH29" s="21"/>
      <c r="HI29" s="21"/>
      <c r="HJ29" s="21"/>
      <c r="HK29" s="21"/>
      <c r="HL29" s="21"/>
      <c r="HM29" s="21"/>
      <c r="HN29" s="21"/>
      <c r="HO29" s="21"/>
      <c r="HP29" s="21"/>
      <c r="HQ29" s="21"/>
      <c r="HR29" s="21"/>
      <c r="HS29" s="21"/>
      <c r="HT29" s="21"/>
      <c r="HU29" s="21"/>
      <c r="HV29" s="21"/>
      <c r="HW29" s="21"/>
      <c r="HX29" s="21"/>
      <c r="HY29" s="21"/>
      <c r="HZ29" s="21"/>
      <c r="IA29" s="21"/>
      <c r="IB29" s="21"/>
      <c r="IC29" s="21"/>
      <c r="ID29" s="21"/>
      <c r="IE29" s="21"/>
      <c r="IF29" s="21"/>
      <c r="IG29" s="21"/>
      <c r="IH29" s="21"/>
      <c r="II29" s="21"/>
      <c r="IJ29" s="21"/>
      <c r="IK29" s="21"/>
      <c r="IL29" s="21"/>
      <c r="IM29" s="21"/>
      <c r="IN29" s="21"/>
      <c r="IO29" s="21"/>
      <c r="IP29" s="21"/>
      <c r="IQ29" s="21"/>
      <c r="IR29" s="21"/>
      <c r="IS29" s="21"/>
      <c r="IT29" s="21"/>
      <c r="IU29" s="21"/>
      <c r="IV29" s="21"/>
      <c r="IW29" s="21"/>
      <c r="IX29" s="21"/>
      <c r="IY29" s="21"/>
      <c r="IZ29" s="21"/>
      <c r="JA29" s="21"/>
      <c r="JB29" s="21"/>
      <c r="JC29" s="21"/>
      <c r="JD29" s="21"/>
      <c r="JE29" s="21"/>
      <c r="JF29" s="21"/>
      <c r="JG29" s="21"/>
      <c r="JH29" s="21"/>
      <c r="JI29" s="21"/>
      <c r="JJ29" s="21"/>
      <c r="JK29" s="21"/>
      <c r="JL29" s="21"/>
      <c r="JM29" s="21"/>
      <c r="JN29" s="21"/>
      <c r="JO29" s="21"/>
      <c r="JP29" s="21"/>
      <c r="JQ29" s="21"/>
      <c r="JR29" s="21"/>
      <c r="JS29" s="21"/>
      <c r="JT29" s="21"/>
      <c r="JU29" s="21"/>
      <c r="JV29" s="21"/>
      <c r="JW29" s="21"/>
      <c r="JX29" s="21"/>
      <c r="JY29" s="21"/>
      <c r="JZ29" s="21"/>
      <c r="KA29" s="21"/>
      <c r="KB29" s="21"/>
      <c r="KC29" s="21"/>
      <c r="KD29" s="21"/>
      <c r="KE29" s="21"/>
      <c r="KF29" s="21"/>
      <c r="KG29" s="21"/>
      <c r="KH29" s="21"/>
      <c r="KI29" s="21"/>
      <c r="KJ29" s="21"/>
      <c r="KK29" s="21"/>
      <c r="KL29" s="21"/>
      <c r="KM29" s="21"/>
      <c r="KN29" s="21"/>
      <c r="KO29" s="21"/>
      <c r="KP29" s="21"/>
      <c r="KQ29" s="21"/>
      <c r="KR29" s="21"/>
      <c r="KS29" s="21"/>
      <c r="KT29" s="21"/>
      <c r="KU29" s="21"/>
      <c r="KV29" s="21"/>
      <c r="KW29" s="21"/>
      <c r="KX29" s="21"/>
      <c r="KY29" s="21"/>
      <c r="KZ29" s="21"/>
      <c r="LA29" s="21"/>
      <c r="LB29" s="21"/>
      <c r="LC29" s="21"/>
      <c r="LD29" s="21"/>
      <c r="LE29" s="21"/>
      <c r="LF29" s="21"/>
      <c r="LG29" s="21"/>
      <c r="LH29" s="21"/>
      <c r="LI29" s="21"/>
      <c r="LJ29" s="21"/>
      <c r="LK29" s="21"/>
      <c r="LL29" s="21"/>
      <c r="LM29" s="21"/>
      <c r="LN29" s="21"/>
      <c r="LO29" s="21"/>
      <c r="LP29" s="21"/>
      <c r="LQ29" s="21"/>
      <c r="LR29" s="21"/>
      <c r="LS29" s="21"/>
      <c r="LT29" s="21"/>
      <c r="LU29" s="21"/>
      <c r="LV29" s="21"/>
      <c r="LW29" s="21"/>
      <c r="LX29" s="21"/>
      <c r="LY29" s="21"/>
      <c r="LZ29" s="21"/>
      <c r="MA29" s="21"/>
      <c r="MB29" s="21"/>
      <c r="MC29" s="21"/>
      <c r="MD29" s="21"/>
      <c r="ME29" s="21"/>
      <c r="MF29" s="21"/>
      <c r="MG29" s="21"/>
      <c r="MH29" s="21"/>
      <c r="MI29" s="21"/>
      <c r="MJ29" s="21"/>
      <c r="MK29" s="21"/>
      <c r="ML29" s="21"/>
      <c r="MM29" s="21"/>
      <c r="MN29" s="21"/>
      <c r="MO29" s="21"/>
      <c r="MP29" s="21"/>
      <c r="MQ29" s="21"/>
      <c r="MR29" s="21"/>
      <c r="MS29" s="21"/>
      <c r="MT29" s="21"/>
      <c r="MU29" s="21"/>
      <c r="MV29" s="21"/>
      <c r="MW29" s="21"/>
      <c r="MX29" s="21"/>
      <c r="MY29" s="21"/>
      <c r="MZ29" s="21"/>
      <c r="NA29" s="21"/>
      <c r="NB29" s="21"/>
      <c r="NC29" s="21"/>
      <c r="ND29" s="21"/>
      <c r="NE29" s="21"/>
      <c r="NF29" s="21"/>
      <c r="NG29" s="21"/>
      <c r="NH29" s="21"/>
      <c r="NI29" s="21"/>
      <c r="NJ29" s="21"/>
      <c r="NK29" s="21"/>
      <c r="NL29" s="21"/>
      <c r="NM29" s="21"/>
      <c r="NN29" s="21"/>
      <c r="NO29" s="21"/>
      <c r="NP29" s="21"/>
      <c r="NQ29" s="21"/>
      <c r="NR29" s="21"/>
      <c r="NS29" s="21"/>
      <c r="NT29" s="21"/>
      <c r="NU29" s="21"/>
      <c r="NV29" s="21"/>
      <c r="NW29" s="21"/>
      <c r="NX29" s="21"/>
      <c r="NY29" s="21"/>
      <c r="NZ29" s="21"/>
      <c r="OA29" s="21"/>
      <c r="OB29" s="21"/>
      <c r="OC29" s="21"/>
      <c r="OD29" s="21"/>
      <c r="OE29" s="21"/>
      <c r="OF29" s="21"/>
      <c r="OG29" s="21"/>
      <c r="OH29" s="21"/>
      <c r="OI29" s="21"/>
      <c r="OJ29" s="21"/>
      <c r="OK29" s="21"/>
      <c r="OL29" s="21"/>
      <c r="OM29" s="21"/>
      <c r="ON29" s="21"/>
      <c r="OO29" s="21"/>
      <c r="OP29" s="21"/>
      <c r="OQ29" s="21"/>
      <c r="OR29" s="21"/>
      <c r="OS29" s="21"/>
      <c r="OT29" s="21"/>
      <c r="OU29" s="21"/>
      <c r="OV29" s="21"/>
      <c r="OW29" s="21"/>
      <c r="OX29" s="21"/>
      <c r="OY29" s="21"/>
      <c r="OZ29" s="21"/>
      <c r="PA29" s="21"/>
      <c r="PB29" s="21"/>
      <c r="PC29" s="21"/>
      <c r="PD29" s="21"/>
      <c r="PE29" s="21"/>
      <c r="PF29" s="21"/>
      <c r="PG29" s="21"/>
      <c r="PH29" s="21"/>
      <c r="PI29" s="21"/>
      <c r="PJ29" s="21"/>
      <c r="PK29" s="21"/>
      <c r="PL29" s="21"/>
      <c r="PM29" s="21"/>
      <c r="PN29" s="21"/>
      <c r="PO29" s="21"/>
      <c r="PP29" s="21"/>
      <c r="PQ29" s="21"/>
      <c r="PR29" s="21"/>
      <c r="PS29" s="21"/>
      <c r="PT29" s="21"/>
      <c r="PU29" s="21"/>
      <c r="PV29" s="21"/>
      <c r="PW29" s="21"/>
      <c r="PX29" s="21"/>
      <c r="PY29" s="21"/>
      <c r="PZ29" s="21"/>
      <c r="QA29" s="21"/>
      <c r="QB29" s="21"/>
      <c r="QC29" s="21"/>
      <c r="QD29" s="21"/>
      <c r="QE29" s="21"/>
      <c r="QF29" s="21"/>
      <c r="QG29" s="21"/>
      <c r="QH29" s="21"/>
      <c r="QI29" s="21"/>
      <c r="QJ29" s="21"/>
      <c r="QK29" s="21"/>
      <c r="QL29" s="21"/>
      <c r="QM29" s="21"/>
      <c r="QN29" s="21"/>
      <c r="QO29" s="21"/>
      <c r="QP29" s="21"/>
      <c r="QQ29" s="21"/>
      <c r="QR29" s="21"/>
      <c r="QS29" s="21"/>
      <c r="QT29" s="21"/>
      <c r="QU29" s="21"/>
      <c r="QV29" s="21"/>
      <c r="QW29" s="21"/>
      <c r="QX29" s="21"/>
      <c r="QY29" s="21"/>
      <c r="QZ29" s="21"/>
      <c r="RA29" s="21"/>
      <c r="RB29" s="21"/>
      <c r="RC29" s="21"/>
      <c r="RD29" s="21"/>
      <c r="RE29" s="21"/>
      <c r="RF29" s="21"/>
      <c r="RG29" s="21"/>
      <c r="RH29" s="21"/>
      <c r="RI29" s="21"/>
      <c r="RJ29" s="21"/>
      <c r="RK29" s="21"/>
      <c r="RL29" s="21"/>
      <c r="RM29" s="21"/>
      <c r="RN29" s="21"/>
      <c r="RO29" s="21"/>
      <c r="RP29" s="21"/>
      <c r="RQ29" s="21"/>
      <c r="RR29" s="21"/>
      <c r="RS29" s="21"/>
      <c r="RT29" s="21"/>
      <c r="RU29" s="21"/>
      <c r="RV29" s="21"/>
      <c r="RW29" s="21"/>
      <c r="RX29" s="21"/>
      <c r="RY29" s="21"/>
      <c r="RZ29" s="21"/>
      <c r="SA29" s="21"/>
      <c r="SB29" s="21"/>
      <c r="SC29" s="21"/>
      <c r="SD29" s="21"/>
      <c r="SE29" s="21"/>
      <c r="SF29" s="21"/>
      <c r="SG29" s="21"/>
      <c r="SH29" s="21"/>
      <c r="SI29" s="21"/>
      <c r="SJ29" s="21"/>
      <c r="SK29" s="21"/>
      <c r="SL29" s="21"/>
      <c r="SM29" s="21"/>
      <c r="SN29" s="21"/>
      <c r="SO29" s="21"/>
      <c r="SP29" s="21"/>
      <c r="SQ29" s="21"/>
      <c r="SR29" s="21"/>
      <c r="SS29" s="21"/>
      <c r="ST29" s="21"/>
      <c r="SU29" s="21"/>
      <c r="SV29" s="21"/>
      <c r="SW29" s="21"/>
      <c r="SX29" s="21"/>
      <c r="SY29" s="21"/>
      <c r="SZ29" s="21"/>
      <c r="TA29" s="21"/>
      <c r="TB29" s="21"/>
      <c r="TC29" s="21"/>
      <c r="TD29" s="21"/>
      <c r="TE29" s="21"/>
      <c r="TF29" s="21"/>
      <c r="TG29" s="21"/>
      <c r="TH29" s="21"/>
      <c r="TI29" s="21"/>
      <c r="TJ29" s="21"/>
      <c r="TK29" s="21"/>
      <c r="TL29" s="21"/>
      <c r="TM29" s="21"/>
      <c r="TN29" s="21"/>
      <c r="TO29" s="21"/>
      <c r="TP29" s="21"/>
      <c r="TQ29" s="21"/>
      <c r="TR29" s="21"/>
      <c r="TS29" s="21"/>
      <c r="TT29" s="21"/>
      <c r="TU29" s="21"/>
      <c r="TV29" s="21"/>
      <c r="TW29" s="21"/>
      <c r="TX29" s="21"/>
      <c r="TY29" s="21"/>
      <c r="TZ29" s="21"/>
      <c r="UA29" s="21"/>
      <c r="UB29" s="21"/>
      <c r="UC29" s="21"/>
      <c r="UD29" s="21"/>
      <c r="UE29" s="21"/>
      <c r="UF29" s="21"/>
      <c r="UG29" s="21"/>
      <c r="UH29" s="21"/>
      <c r="UI29" s="21"/>
      <c r="UJ29" s="21"/>
      <c r="UK29" s="21"/>
      <c r="UL29" s="21"/>
      <c r="UM29" s="21"/>
      <c r="UN29" s="21"/>
      <c r="UO29" s="21"/>
      <c r="UP29" s="21"/>
      <c r="UQ29" s="21"/>
      <c r="UR29" s="21"/>
      <c r="US29" s="21"/>
      <c r="UT29" s="21"/>
      <c r="UU29" s="21"/>
      <c r="UV29" s="21"/>
      <c r="UW29" s="21"/>
      <c r="UX29" s="21"/>
      <c r="UY29" s="21"/>
      <c r="UZ29" s="21"/>
      <c r="VA29" s="21"/>
      <c r="VB29" s="21"/>
      <c r="VC29" s="21"/>
      <c r="VD29" s="21"/>
      <c r="VE29" s="21"/>
      <c r="VF29" s="21"/>
      <c r="VG29" s="21"/>
      <c r="VH29" s="21"/>
      <c r="VI29" s="21"/>
      <c r="VJ29" s="21"/>
      <c r="VK29" s="21"/>
      <c r="VL29" s="21"/>
      <c r="VM29" s="21"/>
      <c r="VN29" s="21"/>
      <c r="VO29" s="21"/>
      <c r="VP29" s="21"/>
      <c r="VQ29" s="21"/>
      <c r="VR29" s="21"/>
      <c r="VS29" s="21"/>
      <c r="VT29" s="21"/>
      <c r="VU29" s="21"/>
      <c r="VV29" s="21"/>
      <c r="VW29" s="21"/>
      <c r="VX29" s="21"/>
      <c r="VY29" s="21"/>
      <c r="VZ29" s="21"/>
      <c r="WA29" s="21"/>
      <c r="WB29" s="21"/>
      <c r="WC29" s="21"/>
      <c r="WD29" s="21"/>
      <c r="WE29" s="21"/>
      <c r="WF29" s="21"/>
      <c r="WG29" s="21"/>
      <c r="WH29" s="21"/>
      <c r="WI29" s="21"/>
      <c r="WJ29" s="21"/>
      <c r="WK29" s="21"/>
      <c r="WL29" s="21"/>
      <c r="WM29" s="21"/>
      <c r="WN29" s="21"/>
      <c r="WO29" s="21"/>
      <c r="WP29" s="21"/>
      <c r="WQ29" s="21"/>
      <c r="WR29" s="21"/>
      <c r="WS29" s="21"/>
      <c r="WT29" s="21"/>
      <c r="WU29" s="21"/>
      <c r="WV29" s="21"/>
      <c r="WW29" s="21"/>
      <c r="WX29" s="21"/>
      <c r="WY29" s="21"/>
      <c r="WZ29" s="21"/>
      <c r="XA29" s="21"/>
      <c r="XB29" s="21"/>
      <c r="XC29" s="21"/>
      <c r="XD29" s="21"/>
      <c r="XE29" s="21"/>
      <c r="XF29" s="21"/>
      <c r="XG29" s="21"/>
      <c r="XH29" s="21"/>
      <c r="XI29" s="21"/>
      <c r="XJ29" s="21"/>
      <c r="XK29" s="21"/>
      <c r="XL29" s="21"/>
      <c r="XM29" s="21"/>
      <c r="XN29" s="21"/>
      <c r="XO29" s="21"/>
      <c r="XP29" s="21"/>
      <c r="XQ29" s="21"/>
      <c r="XR29" s="21"/>
      <c r="XS29" s="21"/>
      <c r="XT29" s="21"/>
      <c r="XU29" s="21"/>
      <c r="XV29" s="21"/>
      <c r="XW29" s="21"/>
      <c r="XX29" s="21"/>
      <c r="XY29" s="21"/>
      <c r="XZ29" s="21"/>
      <c r="YA29" s="21"/>
      <c r="YB29" s="21"/>
      <c r="YC29" s="21"/>
      <c r="YD29" s="21"/>
      <c r="YE29" s="21"/>
      <c r="YF29" s="21"/>
      <c r="YG29" s="21"/>
      <c r="YH29" s="21"/>
      <c r="YI29" s="21"/>
      <c r="YJ29" s="21"/>
      <c r="YK29" s="21"/>
      <c r="YL29" s="21"/>
      <c r="YM29" s="21"/>
      <c r="YN29" s="21"/>
      <c r="YO29" s="21"/>
      <c r="YP29" s="21"/>
      <c r="YQ29" s="21"/>
      <c r="YR29" s="21"/>
      <c r="YS29" s="21"/>
      <c r="YT29" s="21"/>
      <c r="YU29" s="21"/>
      <c r="YV29" s="21"/>
      <c r="YW29" s="21"/>
      <c r="YX29" s="21"/>
      <c r="YY29" s="21"/>
      <c r="YZ29" s="21"/>
      <c r="ZA29" s="21"/>
      <c r="ZB29" s="21"/>
      <c r="ZC29" s="21"/>
      <c r="ZD29" s="21"/>
      <c r="ZE29" s="21"/>
      <c r="ZF29" s="21"/>
      <c r="ZG29" s="21"/>
      <c r="ZH29" s="21"/>
      <c r="ZI29" s="21"/>
      <c r="ZJ29" s="21"/>
      <c r="ZK29" s="21"/>
      <c r="ZL29" s="21"/>
      <c r="ZM29" s="21"/>
      <c r="ZN29" s="21"/>
      <c r="ZO29" s="21"/>
      <c r="ZP29" s="21"/>
      <c r="ZQ29" s="21"/>
      <c r="ZR29" s="21"/>
      <c r="ZS29" s="21"/>
      <c r="ZT29" s="21"/>
      <c r="ZU29" s="21"/>
      <c r="ZV29" s="21"/>
      <c r="ZW29" s="21"/>
      <c r="ZX29" s="21"/>
      <c r="ZY29" s="21"/>
      <c r="ZZ29" s="21"/>
      <c r="AAA29" s="21"/>
      <c r="AAB29" s="21"/>
      <c r="AAC29" s="21"/>
      <c r="AAD29" s="21"/>
      <c r="AAE29" s="21"/>
      <c r="AAF29" s="21"/>
    </row>
    <row r="30" spans="1:708" ht="69" customHeight="1" x14ac:dyDescent="0.25">
      <c r="A30" s="504" t="s">
        <v>43</v>
      </c>
      <c r="B30" s="558" t="s">
        <v>44</v>
      </c>
      <c r="C30" s="507" t="s">
        <v>45</v>
      </c>
      <c r="D30" s="507" t="s">
        <v>46</v>
      </c>
      <c r="E30" s="507" t="s">
        <v>47</v>
      </c>
      <c r="F30" s="507" t="s">
        <v>48</v>
      </c>
      <c r="G30" s="507" t="s">
        <v>49</v>
      </c>
      <c r="H30" s="507" t="s">
        <v>50</v>
      </c>
      <c r="I30" s="560" t="s">
        <v>51</v>
      </c>
      <c r="J30" s="391" t="s">
        <v>52</v>
      </c>
      <c r="K30" s="391" t="s">
        <v>175</v>
      </c>
      <c r="L30" s="391" t="s">
        <v>54</v>
      </c>
      <c r="M30" s="391" t="s">
        <v>55</v>
      </c>
      <c r="N30" s="391" t="s">
        <v>56</v>
      </c>
      <c r="O30" s="391"/>
      <c r="P30" s="391">
        <v>47</v>
      </c>
      <c r="Q30" s="66" t="s">
        <v>57</v>
      </c>
      <c r="R30" s="66" t="s">
        <v>58</v>
      </c>
      <c r="S30" s="67" t="s">
        <v>56</v>
      </c>
      <c r="T30" s="67"/>
      <c r="U30" s="67">
        <v>27</v>
      </c>
      <c r="V30" s="582">
        <v>1316892870</v>
      </c>
      <c r="W30" s="582">
        <v>64326892613</v>
      </c>
      <c r="X30" s="67" t="s">
        <v>176</v>
      </c>
      <c r="Y30" s="391">
        <v>3</v>
      </c>
      <c r="Z30" s="391">
        <f>+P30</f>
        <v>47</v>
      </c>
      <c r="AA30" s="392">
        <f>+Y30/Z30</f>
        <v>6.3829787234042548E-2</v>
      </c>
      <c r="AB30" s="391" t="s">
        <v>177</v>
      </c>
      <c r="AC30" s="67">
        <v>0</v>
      </c>
      <c r="AD30" s="67">
        <f t="shared" ref="AD30:AD36" si="4">+U30</f>
        <v>27</v>
      </c>
      <c r="AE30" s="68">
        <f t="shared" ref="AE30:AE36" si="5">+AC30/AD30</f>
        <v>0</v>
      </c>
      <c r="AF30" s="67" t="s">
        <v>178</v>
      </c>
      <c r="AG30" s="562">
        <v>7</v>
      </c>
      <c r="AH30" s="562">
        <v>47</v>
      </c>
      <c r="AI30" s="563">
        <v>0.14893617021276595</v>
      </c>
      <c r="AJ30" s="562" t="s">
        <v>179</v>
      </c>
      <c r="AK30" s="69">
        <v>2</v>
      </c>
      <c r="AL30" s="69">
        <v>27</v>
      </c>
      <c r="AM30" s="70">
        <v>7.407407407407407E-2</v>
      </c>
      <c r="AN30" s="69" t="s">
        <v>180</v>
      </c>
      <c r="AO30" s="562">
        <v>9</v>
      </c>
      <c r="AP30" s="562">
        <f>+P30</f>
        <v>47</v>
      </c>
      <c r="AQ30" s="563">
        <f>+AO30/AP30</f>
        <v>0.19148936170212766</v>
      </c>
      <c r="AR30" s="562" t="s">
        <v>181</v>
      </c>
      <c r="AS30" s="69">
        <v>3</v>
      </c>
      <c r="AT30" s="69">
        <f t="shared" ref="AT30:AT36" si="6">+U30</f>
        <v>27</v>
      </c>
      <c r="AU30" s="70">
        <f t="shared" ref="AU30:AU36" si="7">+AS30/AT30</f>
        <v>0.1111111111111111</v>
      </c>
      <c r="AV30" s="69" t="s">
        <v>182</v>
      </c>
    </row>
    <row r="31" spans="1:708" ht="70.5" customHeight="1" x14ac:dyDescent="0.25">
      <c r="A31" s="504"/>
      <c r="B31" s="559"/>
      <c r="C31" s="508"/>
      <c r="D31" s="508"/>
      <c r="E31" s="508"/>
      <c r="F31" s="508"/>
      <c r="G31" s="508"/>
      <c r="H31" s="508"/>
      <c r="I31" s="561"/>
      <c r="J31" s="391"/>
      <c r="K31" s="391"/>
      <c r="L31" s="391"/>
      <c r="M31" s="391"/>
      <c r="N31" s="391"/>
      <c r="O31" s="391"/>
      <c r="P31" s="391"/>
      <c r="Q31" s="73" t="s">
        <v>66</v>
      </c>
      <c r="R31" s="73" t="s">
        <v>67</v>
      </c>
      <c r="S31" s="74" t="s">
        <v>56</v>
      </c>
      <c r="T31" s="74"/>
      <c r="U31" s="74">
        <v>37</v>
      </c>
      <c r="V31" s="582"/>
      <c r="W31" s="582"/>
      <c r="X31" s="74" t="s">
        <v>176</v>
      </c>
      <c r="Y31" s="391"/>
      <c r="Z31" s="391"/>
      <c r="AA31" s="392"/>
      <c r="AB31" s="391"/>
      <c r="AC31" s="74">
        <v>3</v>
      </c>
      <c r="AD31" s="74">
        <f t="shared" si="4"/>
        <v>37</v>
      </c>
      <c r="AE31" s="76">
        <f t="shared" si="5"/>
        <v>8.1081081081081086E-2</v>
      </c>
      <c r="AF31" s="74" t="s">
        <v>183</v>
      </c>
      <c r="AG31" s="562"/>
      <c r="AH31" s="562"/>
      <c r="AI31" s="563"/>
      <c r="AJ31" s="562"/>
      <c r="AK31" s="77">
        <v>7</v>
      </c>
      <c r="AL31" s="77">
        <v>37</v>
      </c>
      <c r="AM31" s="78">
        <v>0.1891891891891892</v>
      </c>
      <c r="AN31" s="77" t="s">
        <v>184</v>
      </c>
      <c r="AO31" s="562"/>
      <c r="AP31" s="562"/>
      <c r="AQ31" s="563"/>
      <c r="AR31" s="562"/>
      <c r="AS31" s="77">
        <v>8</v>
      </c>
      <c r="AT31" s="77">
        <f t="shared" si="6"/>
        <v>37</v>
      </c>
      <c r="AU31" s="78">
        <f t="shared" si="7"/>
        <v>0.21621621621621623</v>
      </c>
      <c r="AV31" s="77" t="s">
        <v>185</v>
      </c>
    </row>
    <row r="32" spans="1:708" ht="70.5" customHeight="1" x14ac:dyDescent="0.25">
      <c r="A32" s="490" t="s">
        <v>43</v>
      </c>
      <c r="B32" s="566" t="s">
        <v>44</v>
      </c>
      <c r="C32" s="567" t="s">
        <v>45</v>
      </c>
      <c r="D32" s="567" t="s">
        <v>46</v>
      </c>
      <c r="E32" s="567" t="s">
        <v>71</v>
      </c>
      <c r="F32" s="567" t="s">
        <v>48</v>
      </c>
      <c r="G32" s="567" t="s">
        <v>49</v>
      </c>
      <c r="H32" s="567" t="s">
        <v>50</v>
      </c>
      <c r="I32" s="577" t="s">
        <v>51</v>
      </c>
      <c r="J32" s="390" t="s">
        <v>52</v>
      </c>
      <c r="K32" s="390" t="s">
        <v>175</v>
      </c>
      <c r="L32" s="390" t="s">
        <v>72</v>
      </c>
      <c r="M32" s="390" t="s">
        <v>112</v>
      </c>
      <c r="N32" s="390" t="s">
        <v>74</v>
      </c>
      <c r="O32" s="390"/>
      <c r="P32" s="389">
        <v>0.89</v>
      </c>
      <c r="Q32" s="66" t="s">
        <v>113</v>
      </c>
      <c r="R32" s="66" t="s">
        <v>114</v>
      </c>
      <c r="S32" s="67" t="s">
        <v>74</v>
      </c>
      <c r="T32" s="67"/>
      <c r="U32" s="82">
        <v>0.89</v>
      </c>
      <c r="V32" s="585">
        <v>972202195</v>
      </c>
      <c r="W32" s="582"/>
      <c r="X32" s="67" t="s">
        <v>176</v>
      </c>
      <c r="Y32" s="392">
        <f>3/3</f>
        <v>1</v>
      </c>
      <c r="Z32" s="576">
        <f>+P32</f>
        <v>0.89</v>
      </c>
      <c r="AA32" s="392">
        <f>+Y32/Z32</f>
        <v>1.1235955056179776</v>
      </c>
      <c r="AB32" s="391" t="s">
        <v>186</v>
      </c>
      <c r="AC32" s="68">
        <v>0</v>
      </c>
      <c r="AD32" s="82">
        <f t="shared" si="4"/>
        <v>0.89</v>
      </c>
      <c r="AE32" s="68">
        <f t="shared" si="5"/>
        <v>0</v>
      </c>
      <c r="AF32" s="67" t="s">
        <v>187</v>
      </c>
      <c r="AG32" s="563">
        <v>1</v>
      </c>
      <c r="AH32" s="573">
        <v>0.89</v>
      </c>
      <c r="AI32" s="563">
        <v>1.1235955056179776</v>
      </c>
      <c r="AJ32" s="562" t="s">
        <v>188</v>
      </c>
      <c r="AK32" s="70">
        <v>1</v>
      </c>
      <c r="AL32" s="84">
        <v>0.89</v>
      </c>
      <c r="AM32" s="70">
        <v>1.1235955056179776</v>
      </c>
      <c r="AN32" s="69" t="s">
        <v>189</v>
      </c>
      <c r="AO32" s="563">
        <f>7/7</f>
        <v>1</v>
      </c>
      <c r="AP32" s="573">
        <f>+P32</f>
        <v>0.89</v>
      </c>
      <c r="AQ32" s="563">
        <f>+AO32/AP32</f>
        <v>1.1235955056179776</v>
      </c>
      <c r="AR32" s="562" t="s">
        <v>190</v>
      </c>
      <c r="AS32" s="70">
        <f>+(2/2)</f>
        <v>1</v>
      </c>
      <c r="AT32" s="84">
        <f t="shared" si="6"/>
        <v>0.89</v>
      </c>
      <c r="AU32" s="70">
        <f t="shared" si="7"/>
        <v>1.1235955056179776</v>
      </c>
      <c r="AV32" s="69" t="s">
        <v>191</v>
      </c>
    </row>
    <row r="33" spans="1:708" ht="70.5" customHeight="1" x14ac:dyDescent="0.25">
      <c r="A33" s="491"/>
      <c r="B33" s="566"/>
      <c r="C33" s="568"/>
      <c r="D33" s="568"/>
      <c r="E33" s="568"/>
      <c r="F33" s="568"/>
      <c r="G33" s="568"/>
      <c r="H33" s="568"/>
      <c r="I33" s="578"/>
      <c r="J33" s="390"/>
      <c r="K33" s="390"/>
      <c r="L33" s="390"/>
      <c r="M33" s="390"/>
      <c r="N33" s="390"/>
      <c r="O33" s="390"/>
      <c r="P33" s="389"/>
      <c r="Q33" s="73" t="s">
        <v>121</v>
      </c>
      <c r="R33" s="73" t="s">
        <v>122</v>
      </c>
      <c r="S33" s="74" t="s">
        <v>74</v>
      </c>
      <c r="T33" s="74"/>
      <c r="U33" s="85">
        <v>0.89</v>
      </c>
      <c r="V33" s="585"/>
      <c r="W33" s="582"/>
      <c r="X33" s="74" t="s">
        <v>176</v>
      </c>
      <c r="Y33" s="392"/>
      <c r="Z33" s="391"/>
      <c r="AA33" s="392"/>
      <c r="AB33" s="391"/>
      <c r="AC33" s="76">
        <f>(1/6)</f>
        <v>0.16666666666666666</v>
      </c>
      <c r="AD33" s="85">
        <f t="shared" si="4"/>
        <v>0.89</v>
      </c>
      <c r="AE33" s="76">
        <f t="shared" si="5"/>
        <v>0.18726591760299624</v>
      </c>
      <c r="AF33" s="74" t="s">
        <v>192</v>
      </c>
      <c r="AG33" s="563"/>
      <c r="AH33" s="562"/>
      <c r="AI33" s="563"/>
      <c r="AJ33" s="562"/>
      <c r="AK33" s="78">
        <v>0.14285714285714285</v>
      </c>
      <c r="AL33" s="86">
        <v>0.89</v>
      </c>
      <c r="AM33" s="78">
        <v>0.16051364365971107</v>
      </c>
      <c r="AN33" s="77" t="s">
        <v>193</v>
      </c>
      <c r="AO33" s="563"/>
      <c r="AP33" s="562"/>
      <c r="AQ33" s="563"/>
      <c r="AR33" s="562"/>
      <c r="AS33" s="78">
        <f>(0/7)</f>
        <v>0</v>
      </c>
      <c r="AT33" s="86">
        <f t="shared" si="6"/>
        <v>0.89</v>
      </c>
      <c r="AU33" s="78">
        <f t="shared" si="7"/>
        <v>0</v>
      </c>
      <c r="AV33" s="77" t="s">
        <v>194</v>
      </c>
    </row>
    <row r="34" spans="1:708" ht="57" customHeight="1" x14ac:dyDescent="0.25">
      <c r="A34" s="504" t="s">
        <v>43</v>
      </c>
      <c r="B34" s="505" t="s">
        <v>44</v>
      </c>
      <c r="C34" s="507" t="s">
        <v>45</v>
      </c>
      <c r="D34" s="507" t="s">
        <v>46</v>
      </c>
      <c r="E34" s="507" t="s">
        <v>47</v>
      </c>
      <c r="F34" s="507" t="s">
        <v>48</v>
      </c>
      <c r="G34" s="507" t="s">
        <v>49</v>
      </c>
      <c r="H34" s="507" t="s">
        <v>50</v>
      </c>
      <c r="I34" s="560" t="s">
        <v>78</v>
      </c>
      <c r="J34" s="391" t="s">
        <v>52</v>
      </c>
      <c r="K34" s="391" t="s">
        <v>175</v>
      </c>
      <c r="L34" s="391" t="s">
        <v>79</v>
      </c>
      <c r="M34" s="391" t="s">
        <v>80</v>
      </c>
      <c r="N34" s="391" t="s">
        <v>56</v>
      </c>
      <c r="O34" s="391"/>
      <c r="P34" s="391">
        <v>143</v>
      </c>
      <c r="Q34" s="88" t="s">
        <v>81</v>
      </c>
      <c r="R34" s="66" t="s">
        <v>82</v>
      </c>
      <c r="S34" s="88" t="s">
        <v>56</v>
      </c>
      <c r="T34" s="88"/>
      <c r="U34" s="87">
        <v>116</v>
      </c>
      <c r="V34" s="583">
        <v>3667802222</v>
      </c>
      <c r="W34" s="582"/>
      <c r="X34" s="67" t="s">
        <v>176</v>
      </c>
      <c r="Y34" s="584">
        <v>4</v>
      </c>
      <c r="Z34" s="584">
        <f>+P34</f>
        <v>143</v>
      </c>
      <c r="AA34" s="581">
        <f>+Y34/Z34</f>
        <v>2.7972027972027972E-2</v>
      </c>
      <c r="AB34" s="391" t="s">
        <v>195</v>
      </c>
      <c r="AC34" s="87">
        <v>8</v>
      </c>
      <c r="AD34" s="87">
        <f t="shared" si="4"/>
        <v>116</v>
      </c>
      <c r="AE34" s="90">
        <f t="shared" si="5"/>
        <v>6.8965517241379309E-2</v>
      </c>
      <c r="AF34" s="67" t="s">
        <v>196</v>
      </c>
      <c r="AG34" s="586">
        <v>11</v>
      </c>
      <c r="AH34" s="586">
        <v>143</v>
      </c>
      <c r="AI34" s="587">
        <v>7.6923076923076927E-2</v>
      </c>
      <c r="AJ34" s="562" t="s">
        <v>197</v>
      </c>
      <c r="AK34" s="91">
        <v>22</v>
      </c>
      <c r="AL34" s="91">
        <v>116</v>
      </c>
      <c r="AM34" s="92">
        <v>0.18965517241379309</v>
      </c>
      <c r="AN34" s="69" t="s">
        <v>198</v>
      </c>
      <c r="AO34" s="586">
        <v>15</v>
      </c>
      <c r="AP34" s="586">
        <f>+P34</f>
        <v>143</v>
      </c>
      <c r="AQ34" s="587">
        <f>+AO34/AP34</f>
        <v>0.1048951048951049</v>
      </c>
      <c r="AR34" s="562" t="s">
        <v>199</v>
      </c>
      <c r="AS34" s="91">
        <v>30</v>
      </c>
      <c r="AT34" s="91">
        <f t="shared" si="6"/>
        <v>116</v>
      </c>
      <c r="AU34" s="92">
        <f t="shared" si="7"/>
        <v>0.25862068965517243</v>
      </c>
      <c r="AV34" s="69" t="s">
        <v>200</v>
      </c>
    </row>
    <row r="35" spans="1:708" ht="57" customHeight="1" x14ac:dyDescent="0.25">
      <c r="A35" s="504"/>
      <c r="B35" s="506"/>
      <c r="C35" s="571"/>
      <c r="D35" s="571"/>
      <c r="E35" s="571"/>
      <c r="F35" s="571"/>
      <c r="G35" s="571"/>
      <c r="H35" s="571"/>
      <c r="I35" s="572"/>
      <c r="J35" s="391"/>
      <c r="K35" s="391"/>
      <c r="L35" s="391"/>
      <c r="M35" s="391"/>
      <c r="N35" s="391"/>
      <c r="O35" s="391"/>
      <c r="P35" s="391"/>
      <c r="Q35" s="73" t="s">
        <v>133</v>
      </c>
      <c r="R35" s="73" t="s">
        <v>134</v>
      </c>
      <c r="S35" s="74" t="s">
        <v>56</v>
      </c>
      <c r="T35" s="73"/>
      <c r="U35" s="74">
        <v>120</v>
      </c>
      <c r="V35" s="583"/>
      <c r="W35" s="582"/>
      <c r="X35" s="74" t="s">
        <v>176</v>
      </c>
      <c r="Y35" s="584"/>
      <c r="Z35" s="584"/>
      <c r="AA35" s="581"/>
      <c r="AB35" s="391"/>
      <c r="AC35" s="74">
        <v>2</v>
      </c>
      <c r="AD35" s="74">
        <f t="shared" si="4"/>
        <v>120</v>
      </c>
      <c r="AE35" s="76">
        <f t="shared" si="5"/>
        <v>1.6666666666666666E-2</v>
      </c>
      <c r="AF35" s="74" t="s">
        <v>201</v>
      </c>
      <c r="AG35" s="586"/>
      <c r="AH35" s="586"/>
      <c r="AI35" s="587"/>
      <c r="AJ35" s="562"/>
      <c r="AK35" s="77">
        <v>11</v>
      </c>
      <c r="AL35" s="77">
        <v>120</v>
      </c>
      <c r="AM35" s="78">
        <v>9.166666666666666E-2</v>
      </c>
      <c r="AN35" s="77" t="s">
        <v>202</v>
      </c>
      <c r="AO35" s="586"/>
      <c r="AP35" s="586"/>
      <c r="AQ35" s="587"/>
      <c r="AR35" s="562"/>
      <c r="AS35" s="77">
        <v>24</v>
      </c>
      <c r="AT35" s="77">
        <f t="shared" si="6"/>
        <v>120</v>
      </c>
      <c r="AU35" s="78">
        <f t="shared" si="7"/>
        <v>0.2</v>
      </c>
      <c r="AV35" s="77" t="s">
        <v>203</v>
      </c>
    </row>
    <row r="36" spans="1:708" ht="57" customHeight="1" x14ac:dyDescent="0.25">
      <c r="A36" s="504"/>
      <c r="B36" s="506"/>
      <c r="C36" s="571"/>
      <c r="D36" s="571"/>
      <c r="E36" s="571"/>
      <c r="F36" s="571"/>
      <c r="G36" s="571"/>
      <c r="H36" s="571"/>
      <c r="I36" s="572"/>
      <c r="J36" s="391"/>
      <c r="K36" s="391"/>
      <c r="L36" s="391"/>
      <c r="M36" s="391"/>
      <c r="N36" s="391"/>
      <c r="O36" s="391"/>
      <c r="P36" s="391"/>
      <c r="Q36" s="88" t="s">
        <v>138</v>
      </c>
      <c r="R36" s="66" t="s">
        <v>139</v>
      </c>
      <c r="S36" s="87" t="s">
        <v>56</v>
      </c>
      <c r="T36" s="88"/>
      <c r="U36" s="87">
        <v>20</v>
      </c>
      <c r="V36" s="583"/>
      <c r="W36" s="582"/>
      <c r="X36" s="67" t="s">
        <v>176</v>
      </c>
      <c r="Y36" s="584"/>
      <c r="Z36" s="584"/>
      <c r="AA36" s="581"/>
      <c r="AB36" s="391"/>
      <c r="AC36" s="87">
        <v>1</v>
      </c>
      <c r="AD36" s="87">
        <f t="shared" si="4"/>
        <v>20</v>
      </c>
      <c r="AE36" s="90">
        <f t="shared" si="5"/>
        <v>0.05</v>
      </c>
      <c r="AF36" s="67" t="s">
        <v>172</v>
      </c>
      <c r="AG36" s="586"/>
      <c r="AH36" s="586"/>
      <c r="AI36" s="587"/>
      <c r="AJ36" s="562"/>
      <c r="AK36" s="91">
        <v>2</v>
      </c>
      <c r="AL36" s="91">
        <v>20</v>
      </c>
      <c r="AM36" s="92">
        <v>0.1</v>
      </c>
      <c r="AN36" s="69" t="s">
        <v>204</v>
      </c>
      <c r="AO36" s="586"/>
      <c r="AP36" s="586"/>
      <c r="AQ36" s="587"/>
      <c r="AR36" s="562"/>
      <c r="AS36" s="91">
        <v>4</v>
      </c>
      <c r="AT36" s="91">
        <f t="shared" si="6"/>
        <v>20</v>
      </c>
      <c r="AU36" s="92">
        <f t="shared" si="7"/>
        <v>0.2</v>
      </c>
      <c r="AV36" s="69" t="s">
        <v>205</v>
      </c>
    </row>
    <row r="37" spans="1:708" s="22" customFormat="1" ht="62.25" customHeight="1" x14ac:dyDescent="0.25">
      <c r="A37" s="55"/>
      <c r="B37" s="55"/>
      <c r="C37" s="55"/>
      <c r="D37" s="55"/>
      <c r="E37" s="55"/>
      <c r="F37" s="55"/>
      <c r="G37" s="55"/>
      <c r="H37" s="55"/>
      <c r="I37" s="55"/>
      <c r="J37" s="55"/>
      <c r="K37" s="55"/>
      <c r="L37" s="55"/>
      <c r="M37" s="55"/>
      <c r="N37" s="55"/>
      <c r="O37" s="55"/>
      <c r="P37" s="56"/>
      <c r="Q37" s="55"/>
      <c r="R37" s="55"/>
      <c r="S37" s="56"/>
      <c r="T37" s="55"/>
      <c r="U37" s="55"/>
      <c r="V37" s="57"/>
      <c r="W37" s="57"/>
      <c r="X37" s="55"/>
      <c r="Y37" s="388" t="s">
        <v>99</v>
      </c>
      <c r="Z37" s="388"/>
      <c r="AA37" s="58">
        <f>AVERAGE(AA30:AA36)</f>
        <v>0.4051324402746827</v>
      </c>
      <c r="AB37" s="59"/>
      <c r="AC37" s="388" t="s">
        <v>100</v>
      </c>
      <c r="AD37" s="388"/>
      <c r="AE37" s="58">
        <f>AVERAGE(AE30,AE31,AE33,AE34,AE35,AE36)</f>
        <v>6.7329863765353881E-2</v>
      </c>
      <c r="AF37" s="61"/>
      <c r="AG37" s="564" t="s">
        <v>99</v>
      </c>
      <c r="AH37" s="564"/>
      <c r="AI37" s="62">
        <v>0.4498182509179402</v>
      </c>
      <c r="AJ37" s="63"/>
      <c r="AK37" s="564" t="s">
        <v>100</v>
      </c>
      <c r="AL37" s="564"/>
      <c r="AM37" s="62">
        <v>0.13418312433390567</v>
      </c>
      <c r="AN37" s="65"/>
      <c r="AO37" s="388" t="s">
        <v>99</v>
      </c>
      <c r="AP37" s="388"/>
      <c r="AQ37" s="58">
        <f>AVERAGE(AQ30:AQ36)</f>
        <v>0.47332665740507007</v>
      </c>
      <c r="AR37" s="59"/>
      <c r="AS37" s="388" t="s">
        <v>100</v>
      </c>
      <c r="AT37" s="388"/>
      <c r="AU37" s="58">
        <f>AVERAGE(AU30,AU31,AU33,AU34,AU35,AU36)</f>
        <v>0.16432466949708327</v>
      </c>
      <c r="AV37" s="6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c r="DB37" s="21"/>
      <c r="DC37" s="21"/>
      <c r="DD37" s="21"/>
      <c r="DE37" s="21"/>
      <c r="DF37" s="21"/>
      <c r="DG37" s="21"/>
      <c r="DH37" s="21"/>
      <c r="DI37" s="21"/>
      <c r="DJ37" s="21"/>
      <c r="DK37" s="21"/>
      <c r="DL37" s="21"/>
      <c r="DM37" s="21"/>
      <c r="DN37" s="21"/>
      <c r="DO37" s="21"/>
      <c r="DP37" s="21"/>
      <c r="DQ37" s="21"/>
      <c r="DR37" s="21"/>
      <c r="DS37" s="21"/>
      <c r="DT37" s="21"/>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21"/>
      <c r="FA37" s="21"/>
      <c r="FB37" s="21"/>
      <c r="FC37" s="21"/>
      <c r="FD37" s="21"/>
      <c r="FE37" s="21"/>
      <c r="FF37" s="21"/>
      <c r="FG37" s="21"/>
      <c r="FH37" s="21"/>
      <c r="FI37" s="21"/>
      <c r="FJ37" s="21"/>
      <c r="FK37" s="21"/>
      <c r="FL37" s="21"/>
      <c r="FM37" s="21"/>
      <c r="FN37" s="21"/>
      <c r="FO37" s="21"/>
      <c r="FP37" s="21"/>
      <c r="FQ37" s="21"/>
      <c r="FR37" s="21"/>
      <c r="FS37" s="21"/>
      <c r="FT37" s="21"/>
      <c r="FU37" s="21"/>
      <c r="FV37" s="21"/>
      <c r="FW37" s="21"/>
      <c r="FX37" s="21"/>
      <c r="FY37" s="21"/>
      <c r="FZ37" s="21"/>
      <c r="GA37" s="21"/>
      <c r="GB37" s="21"/>
      <c r="GC37" s="21"/>
      <c r="GD37" s="21"/>
      <c r="GE37" s="21"/>
      <c r="GF37" s="21"/>
      <c r="GG37" s="21"/>
      <c r="GH37" s="21"/>
      <c r="GI37" s="21"/>
      <c r="GJ37" s="21"/>
      <c r="GK37" s="21"/>
      <c r="GL37" s="21"/>
      <c r="GM37" s="21"/>
      <c r="GN37" s="21"/>
      <c r="GO37" s="21"/>
      <c r="GP37" s="21"/>
      <c r="GQ37" s="21"/>
      <c r="GR37" s="21"/>
      <c r="GS37" s="21"/>
      <c r="GT37" s="21"/>
      <c r="GU37" s="21"/>
      <c r="GV37" s="21"/>
      <c r="GW37" s="21"/>
      <c r="GX37" s="21"/>
      <c r="GY37" s="21"/>
      <c r="GZ37" s="21"/>
      <c r="HA37" s="21"/>
      <c r="HB37" s="21"/>
      <c r="HC37" s="21"/>
      <c r="HD37" s="21"/>
      <c r="HE37" s="21"/>
      <c r="HF37" s="21"/>
      <c r="HG37" s="21"/>
      <c r="HH37" s="21"/>
      <c r="HI37" s="21"/>
      <c r="HJ37" s="21"/>
      <c r="HK37" s="21"/>
      <c r="HL37" s="21"/>
      <c r="HM37" s="21"/>
      <c r="HN37" s="21"/>
      <c r="HO37" s="21"/>
      <c r="HP37" s="21"/>
      <c r="HQ37" s="21"/>
      <c r="HR37" s="21"/>
      <c r="HS37" s="21"/>
      <c r="HT37" s="21"/>
      <c r="HU37" s="21"/>
      <c r="HV37" s="21"/>
      <c r="HW37" s="21"/>
      <c r="HX37" s="21"/>
      <c r="HY37" s="21"/>
      <c r="HZ37" s="21"/>
      <c r="IA37" s="21"/>
      <c r="IB37" s="21"/>
      <c r="IC37" s="21"/>
      <c r="ID37" s="21"/>
      <c r="IE37" s="21"/>
      <c r="IF37" s="21"/>
      <c r="IG37" s="21"/>
      <c r="IH37" s="21"/>
      <c r="II37" s="21"/>
      <c r="IJ37" s="21"/>
      <c r="IK37" s="21"/>
      <c r="IL37" s="21"/>
      <c r="IM37" s="21"/>
      <c r="IN37" s="21"/>
      <c r="IO37" s="21"/>
      <c r="IP37" s="21"/>
      <c r="IQ37" s="21"/>
      <c r="IR37" s="21"/>
      <c r="IS37" s="21"/>
      <c r="IT37" s="21"/>
      <c r="IU37" s="21"/>
      <c r="IV37" s="21"/>
      <c r="IW37" s="21"/>
      <c r="IX37" s="21"/>
      <c r="IY37" s="21"/>
      <c r="IZ37" s="21"/>
      <c r="JA37" s="21"/>
      <c r="JB37" s="21"/>
      <c r="JC37" s="21"/>
      <c r="JD37" s="21"/>
      <c r="JE37" s="21"/>
      <c r="JF37" s="21"/>
      <c r="JG37" s="21"/>
      <c r="JH37" s="21"/>
      <c r="JI37" s="21"/>
      <c r="JJ37" s="21"/>
      <c r="JK37" s="21"/>
      <c r="JL37" s="21"/>
      <c r="JM37" s="21"/>
      <c r="JN37" s="21"/>
      <c r="JO37" s="21"/>
      <c r="JP37" s="21"/>
      <c r="JQ37" s="21"/>
      <c r="JR37" s="21"/>
      <c r="JS37" s="21"/>
      <c r="JT37" s="21"/>
      <c r="JU37" s="21"/>
      <c r="JV37" s="21"/>
      <c r="JW37" s="21"/>
      <c r="JX37" s="21"/>
      <c r="JY37" s="21"/>
      <c r="JZ37" s="21"/>
      <c r="KA37" s="21"/>
      <c r="KB37" s="21"/>
      <c r="KC37" s="21"/>
      <c r="KD37" s="21"/>
      <c r="KE37" s="21"/>
      <c r="KF37" s="21"/>
      <c r="KG37" s="21"/>
      <c r="KH37" s="21"/>
      <c r="KI37" s="21"/>
      <c r="KJ37" s="21"/>
      <c r="KK37" s="21"/>
      <c r="KL37" s="21"/>
      <c r="KM37" s="21"/>
      <c r="KN37" s="21"/>
      <c r="KO37" s="21"/>
      <c r="KP37" s="21"/>
      <c r="KQ37" s="21"/>
      <c r="KR37" s="21"/>
      <c r="KS37" s="21"/>
      <c r="KT37" s="21"/>
      <c r="KU37" s="21"/>
      <c r="KV37" s="21"/>
      <c r="KW37" s="21"/>
      <c r="KX37" s="21"/>
      <c r="KY37" s="21"/>
      <c r="KZ37" s="21"/>
      <c r="LA37" s="21"/>
      <c r="LB37" s="21"/>
      <c r="LC37" s="21"/>
      <c r="LD37" s="21"/>
      <c r="LE37" s="21"/>
      <c r="LF37" s="21"/>
      <c r="LG37" s="21"/>
      <c r="LH37" s="21"/>
      <c r="LI37" s="21"/>
      <c r="LJ37" s="21"/>
      <c r="LK37" s="21"/>
      <c r="LL37" s="21"/>
      <c r="LM37" s="21"/>
      <c r="LN37" s="21"/>
      <c r="LO37" s="21"/>
      <c r="LP37" s="21"/>
      <c r="LQ37" s="21"/>
      <c r="LR37" s="21"/>
      <c r="LS37" s="21"/>
      <c r="LT37" s="21"/>
      <c r="LU37" s="21"/>
      <c r="LV37" s="21"/>
      <c r="LW37" s="21"/>
      <c r="LX37" s="21"/>
      <c r="LY37" s="21"/>
      <c r="LZ37" s="21"/>
      <c r="MA37" s="21"/>
      <c r="MB37" s="21"/>
      <c r="MC37" s="21"/>
      <c r="MD37" s="21"/>
      <c r="ME37" s="21"/>
      <c r="MF37" s="21"/>
      <c r="MG37" s="21"/>
      <c r="MH37" s="21"/>
      <c r="MI37" s="21"/>
      <c r="MJ37" s="21"/>
      <c r="MK37" s="21"/>
      <c r="ML37" s="21"/>
      <c r="MM37" s="21"/>
      <c r="MN37" s="21"/>
      <c r="MO37" s="21"/>
      <c r="MP37" s="21"/>
      <c r="MQ37" s="21"/>
      <c r="MR37" s="21"/>
      <c r="MS37" s="21"/>
      <c r="MT37" s="21"/>
      <c r="MU37" s="21"/>
      <c r="MV37" s="21"/>
      <c r="MW37" s="21"/>
      <c r="MX37" s="21"/>
      <c r="MY37" s="21"/>
      <c r="MZ37" s="21"/>
      <c r="NA37" s="21"/>
      <c r="NB37" s="21"/>
      <c r="NC37" s="21"/>
      <c r="ND37" s="21"/>
      <c r="NE37" s="21"/>
      <c r="NF37" s="21"/>
      <c r="NG37" s="21"/>
      <c r="NH37" s="21"/>
      <c r="NI37" s="21"/>
      <c r="NJ37" s="21"/>
      <c r="NK37" s="21"/>
      <c r="NL37" s="21"/>
      <c r="NM37" s="21"/>
      <c r="NN37" s="21"/>
      <c r="NO37" s="21"/>
      <c r="NP37" s="21"/>
      <c r="NQ37" s="21"/>
      <c r="NR37" s="21"/>
      <c r="NS37" s="21"/>
      <c r="NT37" s="21"/>
      <c r="NU37" s="21"/>
      <c r="NV37" s="21"/>
      <c r="NW37" s="21"/>
      <c r="NX37" s="21"/>
      <c r="NY37" s="21"/>
      <c r="NZ37" s="21"/>
      <c r="OA37" s="21"/>
      <c r="OB37" s="21"/>
      <c r="OC37" s="21"/>
      <c r="OD37" s="21"/>
      <c r="OE37" s="21"/>
      <c r="OF37" s="21"/>
      <c r="OG37" s="21"/>
      <c r="OH37" s="21"/>
      <c r="OI37" s="21"/>
      <c r="OJ37" s="21"/>
      <c r="OK37" s="21"/>
      <c r="OL37" s="21"/>
      <c r="OM37" s="21"/>
      <c r="ON37" s="21"/>
      <c r="OO37" s="21"/>
      <c r="OP37" s="21"/>
      <c r="OQ37" s="21"/>
      <c r="OR37" s="21"/>
      <c r="OS37" s="21"/>
      <c r="OT37" s="21"/>
      <c r="OU37" s="21"/>
      <c r="OV37" s="21"/>
      <c r="OW37" s="21"/>
      <c r="OX37" s="21"/>
      <c r="OY37" s="21"/>
      <c r="OZ37" s="21"/>
      <c r="PA37" s="21"/>
      <c r="PB37" s="21"/>
      <c r="PC37" s="21"/>
      <c r="PD37" s="21"/>
      <c r="PE37" s="21"/>
      <c r="PF37" s="21"/>
      <c r="PG37" s="21"/>
      <c r="PH37" s="21"/>
      <c r="PI37" s="21"/>
      <c r="PJ37" s="21"/>
      <c r="PK37" s="21"/>
      <c r="PL37" s="21"/>
      <c r="PM37" s="21"/>
      <c r="PN37" s="21"/>
      <c r="PO37" s="21"/>
      <c r="PP37" s="21"/>
      <c r="PQ37" s="21"/>
      <c r="PR37" s="21"/>
      <c r="PS37" s="21"/>
      <c r="PT37" s="21"/>
      <c r="PU37" s="21"/>
      <c r="PV37" s="21"/>
      <c r="PW37" s="21"/>
      <c r="PX37" s="21"/>
      <c r="PY37" s="21"/>
      <c r="PZ37" s="21"/>
      <c r="QA37" s="21"/>
      <c r="QB37" s="21"/>
      <c r="QC37" s="21"/>
      <c r="QD37" s="21"/>
      <c r="QE37" s="21"/>
      <c r="QF37" s="21"/>
      <c r="QG37" s="21"/>
      <c r="QH37" s="21"/>
      <c r="QI37" s="21"/>
      <c r="QJ37" s="21"/>
      <c r="QK37" s="21"/>
      <c r="QL37" s="21"/>
      <c r="QM37" s="21"/>
      <c r="QN37" s="21"/>
      <c r="QO37" s="21"/>
      <c r="QP37" s="21"/>
      <c r="QQ37" s="21"/>
      <c r="QR37" s="21"/>
      <c r="QS37" s="21"/>
      <c r="QT37" s="21"/>
      <c r="QU37" s="21"/>
      <c r="QV37" s="21"/>
      <c r="QW37" s="21"/>
      <c r="QX37" s="21"/>
      <c r="QY37" s="21"/>
      <c r="QZ37" s="21"/>
      <c r="RA37" s="21"/>
      <c r="RB37" s="21"/>
      <c r="RC37" s="21"/>
      <c r="RD37" s="21"/>
      <c r="RE37" s="21"/>
      <c r="RF37" s="21"/>
      <c r="RG37" s="21"/>
      <c r="RH37" s="21"/>
      <c r="RI37" s="21"/>
      <c r="RJ37" s="21"/>
      <c r="RK37" s="21"/>
      <c r="RL37" s="21"/>
      <c r="RM37" s="21"/>
      <c r="RN37" s="21"/>
      <c r="RO37" s="21"/>
      <c r="RP37" s="21"/>
      <c r="RQ37" s="21"/>
      <c r="RR37" s="21"/>
      <c r="RS37" s="21"/>
      <c r="RT37" s="21"/>
      <c r="RU37" s="21"/>
      <c r="RV37" s="21"/>
      <c r="RW37" s="21"/>
      <c r="RX37" s="21"/>
      <c r="RY37" s="21"/>
      <c r="RZ37" s="21"/>
      <c r="SA37" s="21"/>
      <c r="SB37" s="21"/>
      <c r="SC37" s="21"/>
      <c r="SD37" s="21"/>
      <c r="SE37" s="21"/>
      <c r="SF37" s="21"/>
      <c r="SG37" s="21"/>
      <c r="SH37" s="21"/>
      <c r="SI37" s="21"/>
      <c r="SJ37" s="21"/>
      <c r="SK37" s="21"/>
      <c r="SL37" s="21"/>
      <c r="SM37" s="21"/>
      <c r="SN37" s="21"/>
      <c r="SO37" s="21"/>
      <c r="SP37" s="21"/>
      <c r="SQ37" s="21"/>
      <c r="SR37" s="21"/>
      <c r="SS37" s="21"/>
      <c r="ST37" s="21"/>
      <c r="SU37" s="21"/>
      <c r="SV37" s="21"/>
      <c r="SW37" s="21"/>
      <c r="SX37" s="21"/>
      <c r="SY37" s="21"/>
      <c r="SZ37" s="21"/>
      <c r="TA37" s="21"/>
      <c r="TB37" s="21"/>
      <c r="TC37" s="21"/>
      <c r="TD37" s="21"/>
      <c r="TE37" s="21"/>
      <c r="TF37" s="21"/>
      <c r="TG37" s="21"/>
      <c r="TH37" s="21"/>
      <c r="TI37" s="21"/>
      <c r="TJ37" s="21"/>
      <c r="TK37" s="21"/>
      <c r="TL37" s="21"/>
      <c r="TM37" s="21"/>
      <c r="TN37" s="21"/>
      <c r="TO37" s="21"/>
      <c r="TP37" s="21"/>
      <c r="TQ37" s="21"/>
      <c r="TR37" s="21"/>
      <c r="TS37" s="21"/>
      <c r="TT37" s="21"/>
      <c r="TU37" s="21"/>
      <c r="TV37" s="21"/>
      <c r="TW37" s="21"/>
      <c r="TX37" s="21"/>
      <c r="TY37" s="21"/>
      <c r="TZ37" s="21"/>
      <c r="UA37" s="21"/>
      <c r="UB37" s="21"/>
      <c r="UC37" s="21"/>
      <c r="UD37" s="21"/>
      <c r="UE37" s="21"/>
      <c r="UF37" s="21"/>
      <c r="UG37" s="21"/>
      <c r="UH37" s="21"/>
      <c r="UI37" s="21"/>
      <c r="UJ37" s="21"/>
      <c r="UK37" s="21"/>
      <c r="UL37" s="21"/>
      <c r="UM37" s="21"/>
      <c r="UN37" s="21"/>
      <c r="UO37" s="21"/>
      <c r="UP37" s="21"/>
      <c r="UQ37" s="21"/>
      <c r="UR37" s="21"/>
      <c r="US37" s="21"/>
      <c r="UT37" s="21"/>
      <c r="UU37" s="21"/>
      <c r="UV37" s="21"/>
      <c r="UW37" s="21"/>
      <c r="UX37" s="21"/>
      <c r="UY37" s="21"/>
      <c r="UZ37" s="21"/>
      <c r="VA37" s="21"/>
      <c r="VB37" s="21"/>
      <c r="VC37" s="21"/>
      <c r="VD37" s="21"/>
      <c r="VE37" s="21"/>
      <c r="VF37" s="21"/>
      <c r="VG37" s="21"/>
      <c r="VH37" s="21"/>
      <c r="VI37" s="21"/>
      <c r="VJ37" s="21"/>
      <c r="VK37" s="21"/>
      <c r="VL37" s="21"/>
      <c r="VM37" s="21"/>
      <c r="VN37" s="21"/>
      <c r="VO37" s="21"/>
      <c r="VP37" s="21"/>
      <c r="VQ37" s="21"/>
      <c r="VR37" s="21"/>
      <c r="VS37" s="21"/>
      <c r="VT37" s="21"/>
      <c r="VU37" s="21"/>
      <c r="VV37" s="21"/>
      <c r="VW37" s="21"/>
      <c r="VX37" s="21"/>
      <c r="VY37" s="21"/>
      <c r="VZ37" s="21"/>
      <c r="WA37" s="21"/>
      <c r="WB37" s="21"/>
      <c r="WC37" s="21"/>
      <c r="WD37" s="21"/>
      <c r="WE37" s="21"/>
      <c r="WF37" s="21"/>
      <c r="WG37" s="21"/>
      <c r="WH37" s="21"/>
      <c r="WI37" s="21"/>
      <c r="WJ37" s="21"/>
      <c r="WK37" s="21"/>
      <c r="WL37" s="21"/>
      <c r="WM37" s="21"/>
      <c r="WN37" s="21"/>
      <c r="WO37" s="21"/>
      <c r="WP37" s="21"/>
      <c r="WQ37" s="21"/>
      <c r="WR37" s="21"/>
      <c r="WS37" s="21"/>
      <c r="WT37" s="21"/>
      <c r="WU37" s="21"/>
      <c r="WV37" s="21"/>
      <c r="WW37" s="21"/>
      <c r="WX37" s="21"/>
      <c r="WY37" s="21"/>
      <c r="WZ37" s="21"/>
      <c r="XA37" s="21"/>
      <c r="XB37" s="21"/>
      <c r="XC37" s="21"/>
      <c r="XD37" s="21"/>
      <c r="XE37" s="21"/>
      <c r="XF37" s="21"/>
      <c r="XG37" s="21"/>
      <c r="XH37" s="21"/>
      <c r="XI37" s="21"/>
      <c r="XJ37" s="21"/>
      <c r="XK37" s="21"/>
      <c r="XL37" s="21"/>
      <c r="XM37" s="21"/>
      <c r="XN37" s="21"/>
      <c r="XO37" s="21"/>
      <c r="XP37" s="21"/>
      <c r="XQ37" s="21"/>
      <c r="XR37" s="21"/>
      <c r="XS37" s="21"/>
      <c r="XT37" s="21"/>
      <c r="XU37" s="21"/>
      <c r="XV37" s="21"/>
      <c r="XW37" s="21"/>
      <c r="XX37" s="21"/>
      <c r="XY37" s="21"/>
      <c r="XZ37" s="21"/>
      <c r="YA37" s="21"/>
      <c r="YB37" s="21"/>
      <c r="YC37" s="21"/>
      <c r="YD37" s="21"/>
      <c r="YE37" s="21"/>
      <c r="YF37" s="21"/>
      <c r="YG37" s="21"/>
      <c r="YH37" s="21"/>
      <c r="YI37" s="21"/>
      <c r="YJ37" s="21"/>
      <c r="YK37" s="21"/>
      <c r="YL37" s="21"/>
      <c r="YM37" s="21"/>
      <c r="YN37" s="21"/>
      <c r="YO37" s="21"/>
      <c r="YP37" s="21"/>
      <c r="YQ37" s="21"/>
      <c r="YR37" s="21"/>
      <c r="YS37" s="21"/>
      <c r="YT37" s="21"/>
      <c r="YU37" s="21"/>
      <c r="YV37" s="21"/>
      <c r="YW37" s="21"/>
      <c r="YX37" s="21"/>
      <c r="YY37" s="21"/>
      <c r="YZ37" s="21"/>
      <c r="ZA37" s="21"/>
      <c r="ZB37" s="21"/>
      <c r="ZC37" s="21"/>
      <c r="ZD37" s="21"/>
      <c r="ZE37" s="21"/>
      <c r="ZF37" s="21"/>
      <c r="ZG37" s="21"/>
      <c r="ZH37" s="21"/>
      <c r="ZI37" s="21"/>
      <c r="ZJ37" s="21"/>
      <c r="ZK37" s="21"/>
      <c r="ZL37" s="21"/>
      <c r="ZM37" s="21"/>
      <c r="ZN37" s="21"/>
      <c r="ZO37" s="21"/>
      <c r="ZP37" s="21"/>
      <c r="ZQ37" s="21"/>
      <c r="ZR37" s="21"/>
      <c r="ZS37" s="21"/>
      <c r="ZT37" s="21"/>
      <c r="ZU37" s="21"/>
      <c r="ZV37" s="21"/>
      <c r="ZW37" s="21"/>
      <c r="ZX37" s="21"/>
      <c r="ZY37" s="21"/>
      <c r="ZZ37" s="21"/>
      <c r="AAA37" s="21"/>
      <c r="AAB37" s="21"/>
      <c r="AAC37" s="21"/>
      <c r="AAD37" s="21"/>
      <c r="AAE37" s="21"/>
      <c r="AAF37" s="21"/>
    </row>
    <row r="38" spans="1:708" ht="67.5" customHeight="1" x14ac:dyDescent="0.25">
      <c r="A38" s="504" t="s">
        <v>43</v>
      </c>
      <c r="B38" s="558" t="s">
        <v>44</v>
      </c>
      <c r="C38" s="507" t="s">
        <v>45</v>
      </c>
      <c r="D38" s="507" t="s">
        <v>46</v>
      </c>
      <c r="E38" s="507" t="s">
        <v>47</v>
      </c>
      <c r="F38" s="507" t="s">
        <v>48</v>
      </c>
      <c r="G38" s="507" t="s">
        <v>49</v>
      </c>
      <c r="H38" s="507" t="s">
        <v>50</v>
      </c>
      <c r="I38" s="560" t="s">
        <v>51</v>
      </c>
      <c r="J38" s="391" t="s">
        <v>52</v>
      </c>
      <c r="K38" s="391" t="s">
        <v>206</v>
      </c>
      <c r="L38" s="391" t="s">
        <v>54</v>
      </c>
      <c r="M38" s="391" t="s">
        <v>55</v>
      </c>
      <c r="N38" s="391" t="s">
        <v>56</v>
      </c>
      <c r="O38" s="391"/>
      <c r="P38" s="391">
        <v>20</v>
      </c>
      <c r="Q38" s="66" t="s">
        <v>57</v>
      </c>
      <c r="R38" s="66" t="s">
        <v>58</v>
      </c>
      <c r="S38" s="67" t="s">
        <v>56</v>
      </c>
      <c r="T38" s="67"/>
      <c r="U38" s="67">
        <v>15</v>
      </c>
      <c r="V38" s="582">
        <v>610168292</v>
      </c>
      <c r="W38" s="582">
        <v>64326892613</v>
      </c>
      <c r="X38" s="67" t="s">
        <v>207</v>
      </c>
      <c r="Y38" s="391">
        <v>3</v>
      </c>
      <c r="Z38" s="391">
        <f>+P38</f>
        <v>20</v>
      </c>
      <c r="AA38" s="392">
        <f>+Y38/Z38</f>
        <v>0.15</v>
      </c>
      <c r="AB38" s="391" t="s">
        <v>208</v>
      </c>
      <c r="AC38" s="67">
        <v>0</v>
      </c>
      <c r="AD38" s="67">
        <f t="shared" ref="AD38:AD44" si="8">+U38</f>
        <v>15</v>
      </c>
      <c r="AE38" s="68">
        <f>AC38/AD38</f>
        <v>0</v>
      </c>
      <c r="AF38" s="67" t="s">
        <v>178</v>
      </c>
      <c r="AG38" s="562">
        <v>3</v>
      </c>
      <c r="AH38" s="562">
        <v>20</v>
      </c>
      <c r="AI38" s="563">
        <v>0.15</v>
      </c>
      <c r="AJ38" s="562" t="s">
        <v>209</v>
      </c>
      <c r="AK38" s="69">
        <v>3</v>
      </c>
      <c r="AL38" s="69">
        <v>15</v>
      </c>
      <c r="AM38" s="70">
        <v>0.2</v>
      </c>
      <c r="AN38" s="69" t="s">
        <v>210</v>
      </c>
      <c r="AO38" s="562">
        <v>6</v>
      </c>
      <c r="AP38" s="562">
        <f>+P38</f>
        <v>20</v>
      </c>
      <c r="AQ38" s="563">
        <f>+AO38/AP38</f>
        <v>0.3</v>
      </c>
      <c r="AR38" s="562" t="s">
        <v>211</v>
      </c>
      <c r="AS38" s="69">
        <v>4</v>
      </c>
      <c r="AT38" s="69">
        <f t="shared" ref="AT38:AT44" si="9">+U38</f>
        <v>15</v>
      </c>
      <c r="AU38" s="70">
        <f>AS38/AT38</f>
        <v>0.26666666666666666</v>
      </c>
      <c r="AV38" s="69" t="s">
        <v>212</v>
      </c>
    </row>
    <row r="39" spans="1:708" ht="70.5" customHeight="1" x14ac:dyDescent="0.25">
      <c r="A39" s="504"/>
      <c r="B39" s="559"/>
      <c r="C39" s="508"/>
      <c r="D39" s="508"/>
      <c r="E39" s="508"/>
      <c r="F39" s="508"/>
      <c r="G39" s="508"/>
      <c r="H39" s="508"/>
      <c r="I39" s="561"/>
      <c r="J39" s="391"/>
      <c r="K39" s="391"/>
      <c r="L39" s="391"/>
      <c r="M39" s="391"/>
      <c r="N39" s="391"/>
      <c r="O39" s="391"/>
      <c r="P39" s="391"/>
      <c r="Q39" s="73" t="s">
        <v>66</v>
      </c>
      <c r="R39" s="73" t="s">
        <v>67</v>
      </c>
      <c r="S39" s="74" t="s">
        <v>56</v>
      </c>
      <c r="T39" s="74"/>
      <c r="U39" s="74">
        <v>20</v>
      </c>
      <c r="V39" s="582"/>
      <c r="W39" s="582"/>
      <c r="X39" s="74" t="s">
        <v>207</v>
      </c>
      <c r="Y39" s="391"/>
      <c r="Z39" s="391"/>
      <c r="AA39" s="392"/>
      <c r="AB39" s="391"/>
      <c r="AC39" s="74">
        <v>3</v>
      </c>
      <c r="AD39" s="74">
        <f t="shared" si="8"/>
        <v>20</v>
      </c>
      <c r="AE39" s="76">
        <f>AC39/AD39</f>
        <v>0.15</v>
      </c>
      <c r="AF39" s="74" t="s">
        <v>183</v>
      </c>
      <c r="AG39" s="562"/>
      <c r="AH39" s="562"/>
      <c r="AI39" s="563"/>
      <c r="AJ39" s="562"/>
      <c r="AK39" s="77">
        <v>3</v>
      </c>
      <c r="AL39" s="77">
        <v>20</v>
      </c>
      <c r="AM39" s="78">
        <v>0.15</v>
      </c>
      <c r="AN39" s="77" t="s">
        <v>213</v>
      </c>
      <c r="AO39" s="562"/>
      <c r="AP39" s="562"/>
      <c r="AQ39" s="563"/>
      <c r="AR39" s="562"/>
      <c r="AS39" s="77">
        <v>5</v>
      </c>
      <c r="AT39" s="77">
        <f t="shared" si="9"/>
        <v>20</v>
      </c>
      <c r="AU39" s="78">
        <f>AS39/AT39</f>
        <v>0.25</v>
      </c>
      <c r="AV39" s="77" t="s">
        <v>214</v>
      </c>
    </row>
    <row r="40" spans="1:708" ht="69.75" customHeight="1" x14ac:dyDescent="0.25">
      <c r="A40" s="490" t="s">
        <v>43</v>
      </c>
      <c r="B40" s="566" t="s">
        <v>44</v>
      </c>
      <c r="C40" s="567" t="s">
        <v>45</v>
      </c>
      <c r="D40" s="567" t="s">
        <v>46</v>
      </c>
      <c r="E40" s="567" t="s">
        <v>71</v>
      </c>
      <c r="F40" s="567" t="s">
        <v>48</v>
      </c>
      <c r="G40" s="567" t="s">
        <v>49</v>
      </c>
      <c r="H40" s="567" t="s">
        <v>50</v>
      </c>
      <c r="I40" s="577" t="s">
        <v>51</v>
      </c>
      <c r="J40" s="390" t="s">
        <v>52</v>
      </c>
      <c r="K40" s="390" t="s">
        <v>206</v>
      </c>
      <c r="L40" s="390" t="s">
        <v>72</v>
      </c>
      <c r="M40" s="390" t="s">
        <v>112</v>
      </c>
      <c r="N40" s="390" t="s">
        <v>74</v>
      </c>
      <c r="O40" s="390"/>
      <c r="P40" s="389">
        <v>0.89</v>
      </c>
      <c r="Q40" s="66" t="s">
        <v>113</v>
      </c>
      <c r="R40" s="66" t="s">
        <v>114</v>
      </c>
      <c r="S40" s="67" t="s">
        <v>74</v>
      </c>
      <c r="T40" s="67"/>
      <c r="U40" s="82">
        <v>0.89</v>
      </c>
      <c r="V40" s="585">
        <v>873566239</v>
      </c>
      <c r="W40" s="582"/>
      <c r="X40" s="67" t="s">
        <v>207</v>
      </c>
      <c r="Y40" s="392">
        <f>3/3</f>
        <v>1</v>
      </c>
      <c r="Z40" s="576">
        <f>+P40</f>
        <v>0.89</v>
      </c>
      <c r="AA40" s="392">
        <f>+Y40/Z40</f>
        <v>1.1235955056179776</v>
      </c>
      <c r="AB40" s="391" t="s">
        <v>215</v>
      </c>
      <c r="AC40" s="68">
        <v>0</v>
      </c>
      <c r="AD40" s="82">
        <f t="shared" si="8"/>
        <v>0.89</v>
      </c>
      <c r="AE40" s="68">
        <f>AC40/AD40</f>
        <v>0</v>
      </c>
      <c r="AF40" s="67" t="s">
        <v>187</v>
      </c>
      <c r="AG40" s="563">
        <v>1</v>
      </c>
      <c r="AH40" s="573">
        <v>0.89</v>
      </c>
      <c r="AI40" s="563">
        <v>1.1235955056179776</v>
      </c>
      <c r="AJ40" s="562" t="s">
        <v>216</v>
      </c>
      <c r="AK40" s="70">
        <v>0.75</v>
      </c>
      <c r="AL40" s="84">
        <v>0.89</v>
      </c>
      <c r="AM40" s="70">
        <v>0.84269662921348309</v>
      </c>
      <c r="AN40" s="69" t="s">
        <v>217</v>
      </c>
      <c r="AO40" s="563">
        <f>5/5</f>
        <v>1</v>
      </c>
      <c r="AP40" s="573">
        <f>+P40</f>
        <v>0.89</v>
      </c>
      <c r="AQ40" s="563">
        <f>+AO40/AP40</f>
        <v>1.1235955056179776</v>
      </c>
      <c r="AR40" s="562" t="s">
        <v>218</v>
      </c>
      <c r="AS40" s="70">
        <f>(3/4)</f>
        <v>0.75</v>
      </c>
      <c r="AT40" s="84">
        <f t="shared" si="9"/>
        <v>0.89</v>
      </c>
      <c r="AU40" s="70">
        <f>AS40/AT40</f>
        <v>0.84269662921348309</v>
      </c>
      <c r="AV40" s="69" t="s">
        <v>219</v>
      </c>
    </row>
    <row r="41" spans="1:708" ht="70.5" customHeight="1" x14ac:dyDescent="0.25">
      <c r="A41" s="491"/>
      <c r="B41" s="566"/>
      <c r="C41" s="568"/>
      <c r="D41" s="568"/>
      <c r="E41" s="568"/>
      <c r="F41" s="568"/>
      <c r="G41" s="568"/>
      <c r="H41" s="568"/>
      <c r="I41" s="578"/>
      <c r="J41" s="390"/>
      <c r="K41" s="390"/>
      <c r="L41" s="390"/>
      <c r="M41" s="390"/>
      <c r="N41" s="390"/>
      <c r="O41" s="390"/>
      <c r="P41" s="389"/>
      <c r="Q41" s="73" t="s">
        <v>121</v>
      </c>
      <c r="R41" s="73" t="s">
        <v>122</v>
      </c>
      <c r="S41" s="74" t="s">
        <v>74</v>
      </c>
      <c r="T41" s="74"/>
      <c r="U41" s="85">
        <v>0.89</v>
      </c>
      <c r="V41" s="585"/>
      <c r="W41" s="582"/>
      <c r="X41" s="74" t="s">
        <v>207</v>
      </c>
      <c r="Y41" s="392"/>
      <c r="Z41" s="391"/>
      <c r="AA41" s="392"/>
      <c r="AB41" s="391"/>
      <c r="AC41" s="76">
        <f>0/2</f>
        <v>0</v>
      </c>
      <c r="AD41" s="85">
        <f t="shared" si="8"/>
        <v>0.89</v>
      </c>
      <c r="AE41" s="76">
        <f>AC41/AD41</f>
        <v>0</v>
      </c>
      <c r="AF41" s="74" t="s">
        <v>220</v>
      </c>
      <c r="AG41" s="563"/>
      <c r="AH41" s="562"/>
      <c r="AI41" s="563"/>
      <c r="AJ41" s="562"/>
      <c r="AK41" s="78">
        <v>0</v>
      </c>
      <c r="AL41" s="86">
        <v>0.89</v>
      </c>
      <c r="AM41" s="78">
        <v>0</v>
      </c>
      <c r="AN41" s="77" t="s">
        <v>221</v>
      </c>
      <c r="AO41" s="563"/>
      <c r="AP41" s="562"/>
      <c r="AQ41" s="563"/>
      <c r="AR41" s="562"/>
      <c r="AS41" s="78">
        <f>0/3</f>
        <v>0</v>
      </c>
      <c r="AT41" s="86">
        <f t="shared" si="9"/>
        <v>0.89</v>
      </c>
      <c r="AU41" s="78">
        <f>AS41/AT41</f>
        <v>0</v>
      </c>
      <c r="AV41" s="77" t="s">
        <v>222</v>
      </c>
    </row>
    <row r="42" spans="1:708" ht="47.25" customHeight="1" x14ac:dyDescent="0.25">
      <c r="A42" s="504" t="s">
        <v>43</v>
      </c>
      <c r="B42" s="505" t="s">
        <v>44</v>
      </c>
      <c r="C42" s="507" t="s">
        <v>45</v>
      </c>
      <c r="D42" s="507" t="s">
        <v>46</v>
      </c>
      <c r="E42" s="507" t="s">
        <v>47</v>
      </c>
      <c r="F42" s="507" t="s">
        <v>48</v>
      </c>
      <c r="G42" s="507" t="s">
        <v>49</v>
      </c>
      <c r="H42" s="507" t="s">
        <v>50</v>
      </c>
      <c r="I42" s="560" t="s">
        <v>78</v>
      </c>
      <c r="J42" s="391" t="s">
        <v>52</v>
      </c>
      <c r="K42" s="391" t="s">
        <v>206</v>
      </c>
      <c r="L42" s="391" t="s">
        <v>79</v>
      </c>
      <c r="M42" s="391" t="s">
        <v>80</v>
      </c>
      <c r="N42" s="391" t="s">
        <v>56</v>
      </c>
      <c r="O42" s="391"/>
      <c r="P42" s="391">
        <v>143</v>
      </c>
      <c r="Q42" s="66" t="s">
        <v>81</v>
      </c>
      <c r="R42" s="66" t="s">
        <v>82</v>
      </c>
      <c r="S42" s="87" t="s">
        <v>56</v>
      </c>
      <c r="T42" s="88"/>
      <c r="U42" s="87">
        <v>110</v>
      </c>
      <c r="V42" s="583">
        <v>3513328537</v>
      </c>
      <c r="W42" s="582"/>
      <c r="X42" s="67" t="s">
        <v>207</v>
      </c>
      <c r="Y42" s="584">
        <v>3</v>
      </c>
      <c r="Z42" s="584">
        <f>+P42</f>
        <v>143</v>
      </c>
      <c r="AA42" s="581">
        <f>+Y42/Z42</f>
        <v>2.097902097902098E-2</v>
      </c>
      <c r="AB42" s="391" t="s">
        <v>223</v>
      </c>
      <c r="AC42" s="87">
        <v>1</v>
      </c>
      <c r="AD42" s="87">
        <f t="shared" si="8"/>
        <v>110</v>
      </c>
      <c r="AE42" s="90">
        <f>+AC42/AD42</f>
        <v>9.0909090909090905E-3</v>
      </c>
      <c r="AF42" s="67" t="s">
        <v>224</v>
      </c>
      <c r="AG42" s="586">
        <v>7</v>
      </c>
      <c r="AH42" s="586">
        <v>143</v>
      </c>
      <c r="AI42" s="587">
        <v>4.8951048951048952E-2</v>
      </c>
      <c r="AJ42" s="562" t="s">
        <v>225</v>
      </c>
      <c r="AK42" s="91">
        <v>14</v>
      </c>
      <c r="AL42" s="91">
        <v>110</v>
      </c>
      <c r="AM42" s="92">
        <v>0.12727272727272726</v>
      </c>
      <c r="AN42" s="69" t="s">
        <v>226</v>
      </c>
      <c r="AO42" s="586">
        <v>8</v>
      </c>
      <c r="AP42" s="586">
        <f>+P42</f>
        <v>143</v>
      </c>
      <c r="AQ42" s="587">
        <f>+AO42/AP42</f>
        <v>5.5944055944055944E-2</v>
      </c>
      <c r="AR42" s="562" t="s">
        <v>227</v>
      </c>
      <c r="AS42" s="91">
        <v>24</v>
      </c>
      <c r="AT42" s="91">
        <f t="shared" si="9"/>
        <v>110</v>
      </c>
      <c r="AU42" s="92">
        <f>+AS42/AT42</f>
        <v>0.21818181818181817</v>
      </c>
      <c r="AV42" s="69" t="s">
        <v>228</v>
      </c>
    </row>
    <row r="43" spans="1:708" ht="47.25" customHeight="1" x14ac:dyDescent="0.25">
      <c r="A43" s="504"/>
      <c r="B43" s="506"/>
      <c r="C43" s="571"/>
      <c r="D43" s="571"/>
      <c r="E43" s="571"/>
      <c r="F43" s="571"/>
      <c r="G43" s="571"/>
      <c r="H43" s="571"/>
      <c r="I43" s="572"/>
      <c r="J43" s="391"/>
      <c r="K43" s="391"/>
      <c r="L43" s="391"/>
      <c r="M43" s="391"/>
      <c r="N43" s="391"/>
      <c r="O43" s="391"/>
      <c r="P43" s="391"/>
      <c r="Q43" s="73" t="s">
        <v>133</v>
      </c>
      <c r="R43" s="73" t="s">
        <v>134</v>
      </c>
      <c r="S43" s="74" t="s">
        <v>56</v>
      </c>
      <c r="T43" s="73"/>
      <c r="U43" s="74">
        <v>108</v>
      </c>
      <c r="V43" s="583"/>
      <c r="W43" s="582"/>
      <c r="X43" s="74" t="s">
        <v>207</v>
      </c>
      <c r="Y43" s="584"/>
      <c r="Z43" s="584"/>
      <c r="AA43" s="581"/>
      <c r="AB43" s="391"/>
      <c r="AC43" s="74">
        <v>0</v>
      </c>
      <c r="AD43" s="74">
        <f t="shared" si="8"/>
        <v>108</v>
      </c>
      <c r="AE43" s="76">
        <f>+AC43/AD43</f>
        <v>0</v>
      </c>
      <c r="AF43" s="74" t="s">
        <v>229</v>
      </c>
      <c r="AG43" s="586"/>
      <c r="AH43" s="586"/>
      <c r="AI43" s="587"/>
      <c r="AJ43" s="562"/>
      <c r="AK43" s="77">
        <v>3</v>
      </c>
      <c r="AL43" s="77">
        <v>108</v>
      </c>
      <c r="AM43" s="78">
        <v>2.7777777777777776E-2</v>
      </c>
      <c r="AN43" s="77" t="s">
        <v>230</v>
      </c>
      <c r="AO43" s="586"/>
      <c r="AP43" s="586"/>
      <c r="AQ43" s="587"/>
      <c r="AR43" s="562"/>
      <c r="AS43" s="77">
        <v>5</v>
      </c>
      <c r="AT43" s="77">
        <f t="shared" si="9"/>
        <v>108</v>
      </c>
      <c r="AU43" s="78">
        <f>+AS43/AT43</f>
        <v>4.6296296296296294E-2</v>
      </c>
      <c r="AV43" s="77" t="s">
        <v>231</v>
      </c>
    </row>
    <row r="44" spans="1:708" ht="47.25" customHeight="1" x14ac:dyDescent="0.25">
      <c r="A44" s="504"/>
      <c r="B44" s="506"/>
      <c r="C44" s="571"/>
      <c r="D44" s="571"/>
      <c r="E44" s="571"/>
      <c r="F44" s="571"/>
      <c r="G44" s="571"/>
      <c r="H44" s="571"/>
      <c r="I44" s="572"/>
      <c r="J44" s="391"/>
      <c r="K44" s="391"/>
      <c r="L44" s="391"/>
      <c r="M44" s="391"/>
      <c r="N44" s="391"/>
      <c r="O44" s="391"/>
      <c r="P44" s="391"/>
      <c r="Q44" s="66" t="s">
        <v>138</v>
      </c>
      <c r="R44" s="66" t="s">
        <v>139</v>
      </c>
      <c r="S44" s="87" t="s">
        <v>56</v>
      </c>
      <c r="T44" s="88"/>
      <c r="U44" s="87">
        <v>12</v>
      </c>
      <c r="V44" s="583"/>
      <c r="W44" s="582"/>
      <c r="X44" s="67" t="s">
        <v>207</v>
      </c>
      <c r="Y44" s="584"/>
      <c r="Z44" s="584"/>
      <c r="AA44" s="581"/>
      <c r="AB44" s="391"/>
      <c r="AC44" s="87">
        <v>0</v>
      </c>
      <c r="AD44" s="87">
        <f t="shared" si="8"/>
        <v>12</v>
      </c>
      <c r="AE44" s="90">
        <f>+AC44/AD44</f>
        <v>0</v>
      </c>
      <c r="AF44" s="67" t="s">
        <v>232</v>
      </c>
      <c r="AG44" s="586"/>
      <c r="AH44" s="586"/>
      <c r="AI44" s="587"/>
      <c r="AJ44" s="562"/>
      <c r="AK44" s="91">
        <v>1</v>
      </c>
      <c r="AL44" s="91">
        <v>12</v>
      </c>
      <c r="AM44" s="92">
        <v>8.3333333333333329E-2</v>
      </c>
      <c r="AN44" s="69" t="s">
        <v>233</v>
      </c>
      <c r="AO44" s="586"/>
      <c r="AP44" s="586"/>
      <c r="AQ44" s="587"/>
      <c r="AR44" s="562"/>
      <c r="AS44" s="91">
        <v>2</v>
      </c>
      <c r="AT44" s="91">
        <f t="shared" si="9"/>
        <v>12</v>
      </c>
      <c r="AU44" s="92">
        <f>+AS44/AT44</f>
        <v>0.16666666666666666</v>
      </c>
      <c r="AV44" s="69" t="s">
        <v>234</v>
      </c>
    </row>
    <row r="45" spans="1:708" s="22" customFormat="1" ht="70.5" customHeight="1" x14ac:dyDescent="0.25">
      <c r="A45" s="55"/>
      <c r="B45" s="55"/>
      <c r="C45" s="55"/>
      <c r="D45" s="55"/>
      <c r="E45" s="55"/>
      <c r="F45" s="55"/>
      <c r="G45" s="55"/>
      <c r="H45" s="55"/>
      <c r="I45" s="55"/>
      <c r="J45" s="55"/>
      <c r="K45" s="55"/>
      <c r="L45" s="55"/>
      <c r="M45" s="55"/>
      <c r="N45" s="55"/>
      <c r="O45" s="55"/>
      <c r="P45" s="56"/>
      <c r="Q45" s="55"/>
      <c r="R45" s="55"/>
      <c r="S45" s="56"/>
      <c r="T45" s="55"/>
      <c r="U45" s="55"/>
      <c r="V45" s="57"/>
      <c r="W45" s="57"/>
      <c r="X45" s="55"/>
      <c r="Y45" s="388" t="s">
        <v>99</v>
      </c>
      <c r="Z45" s="388"/>
      <c r="AA45" s="58">
        <f>AVERAGE(AA38:AA44)</f>
        <v>0.4315248421989995</v>
      </c>
      <c r="AB45" s="59"/>
      <c r="AC45" s="388" t="s">
        <v>100</v>
      </c>
      <c r="AD45" s="388"/>
      <c r="AE45" s="58">
        <f>AVERAGE(AE38,AE39,AE41,AE42,AE43,AE44)</f>
        <v>2.6515151515151516E-2</v>
      </c>
      <c r="AF45" s="61"/>
      <c r="AG45" s="564" t="s">
        <v>99</v>
      </c>
      <c r="AH45" s="564"/>
      <c r="AI45" s="62">
        <v>0.44084885152300884</v>
      </c>
      <c r="AJ45" s="63"/>
      <c r="AK45" s="564" t="s">
        <v>100</v>
      </c>
      <c r="AL45" s="564"/>
      <c r="AM45" s="62">
        <v>9.8063973063973062E-2</v>
      </c>
      <c r="AN45" s="65"/>
      <c r="AO45" s="388" t="s">
        <v>99</v>
      </c>
      <c r="AP45" s="388"/>
      <c r="AQ45" s="58">
        <f>AVERAGE(AQ38:AQ44)</f>
        <v>0.49317985385401125</v>
      </c>
      <c r="AR45" s="59"/>
      <c r="AS45" s="388" t="s">
        <v>100</v>
      </c>
      <c r="AT45" s="388"/>
      <c r="AU45" s="58">
        <f>AVERAGE(AU38,AU39,AU41,AU42,AU43,AU44)</f>
        <v>0.15796857463524128</v>
      </c>
      <c r="AV45" s="6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1"/>
      <c r="EZ45" s="21"/>
      <c r="FA45" s="21"/>
      <c r="FB45" s="21"/>
      <c r="FC45" s="21"/>
      <c r="FD45" s="21"/>
      <c r="FE45" s="21"/>
      <c r="FF45" s="21"/>
      <c r="FG45" s="21"/>
      <c r="FH45" s="21"/>
      <c r="FI45" s="21"/>
      <c r="FJ45" s="21"/>
      <c r="FK45" s="21"/>
      <c r="FL45" s="21"/>
      <c r="FM45" s="21"/>
      <c r="FN45" s="21"/>
      <c r="FO45" s="21"/>
      <c r="FP45" s="21"/>
      <c r="FQ45" s="21"/>
      <c r="FR45" s="21"/>
      <c r="FS45" s="21"/>
      <c r="FT45" s="21"/>
      <c r="FU45" s="21"/>
      <c r="FV45" s="21"/>
      <c r="FW45" s="21"/>
      <c r="FX45" s="21"/>
      <c r="FY45" s="21"/>
      <c r="FZ45" s="21"/>
      <c r="GA45" s="21"/>
      <c r="GB45" s="21"/>
      <c r="GC45" s="21"/>
      <c r="GD45" s="21"/>
      <c r="GE45" s="21"/>
      <c r="GF45" s="21"/>
      <c r="GG45" s="21"/>
      <c r="GH45" s="21"/>
      <c r="GI45" s="21"/>
      <c r="GJ45" s="21"/>
      <c r="GK45" s="21"/>
      <c r="GL45" s="21"/>
      <c r="GM45" s="21"/>
      <c r="GN45" s="21"/>
      <c r="GO45" s="21"/>
      <c r="GP45" s="21"/>
      <c r="GQ45" s="21"/>
      <c r="GR45" s="21"/>
      <c r="GS45" s="21"/>
      <c r="GT45" s="21"/>
      <c r="GU45" s="21"/>
      <c r="GV45" s="21"/>
      <c r="GW45" s="21"/>
      <c r="GX45" s="21"/>
      <c r="GY45" s="21"/>
      <c r="GZ45" s="21"/>
      <c r="HA45" s="21"/>
      <c r="HB45" s="21"/>
      <c r="HC45" s="21"/>
      <c r="HD45" s="21"/>
      <c r="HE45" s="21"/>
      <c r="HF45" s="21"/>
      <c r="HG45" s="21"/>
      <c r="HH45" s="21"/>
      <c r="HI45" s="21"/>
      <c r="HJ45" s="21"/>
      <c r="HK45" s="21"/>
      <c r="HL45" s="21"/>
      <c r="HM45" s="21"/>
      <c r="HN45" s="21"/>
      <c r="HO45" s="21"/>
      <c r="HP45" s="21"/>
      <c r="HQ45" s="21"/>
      <c r="HR45" s="21"/>
      <c r="HS45" s="21"/>
      <c r="HT45" s="21"/>
      <c r="HU45" s="21"/>
      <c r="HV45" s="21"/>
      <c r="HW45" s="21"/>
      <c r="HX45" s="21"/>
      <c r="HY45" s="21"/>
      <c r="HZ45" s="21"/>
      <c r="IA45" s="21"/>
      <c r="IB45" s="21"/>
      <c r="IC45" s="21"/>
      <c r="ID45" s="21"/>
      <c r="IE45" s="21"/>
      <c r="IF45" s="21"/>
      <c r="IG45" s="21"/>
      <c r="IH45" s="21"/>
      <c r="II45" s="21"/>
      <c r="IJ45" s="21"/>
      <c r="IK45" s="21"/>
      <c r="IL45" s="21"/>
      <c r="IM45" s="21"/>
      <c r="IN45" s="21"/>
      <c r="IO45" s="21"/>
      <c r="IP45" s="21"/>
      <c r="IQ45" s="21"/>
      <c r="IR45" s="21"/>
      <c r="IS45" s="21"/>
      <c r="IT45" s="21"/>
      <c r="IU45" s="21"/>
      <c r="IV45" s="21"/>
      <c r="IW45" s="21"/>
      <c r="IX45" s="21"/>
      <c r="IY45" s="21"/>
      <c r="IZ45" s="21"/>
      <c r="JA45" s="21"/>
      <c r="JB45" s="21"/>
      <c r="JC45" s="21"/>
      <c r="JD45" s="21"/>
      <c r="JE45" s="21"/>
      <c r="JF45" s="21"/>
      <c r="JG45" s="21"/>
      <c r="JH45" s="21"/>
      <c r="JI45" s="21"/>
      <c r="JJ45" s="21"/>
      <c r="JK45" s="21"/>
      <c r="JL45" s="21"/>
      <c r="JM45" s="21"/>
      <c r="JN45" s="21"/>
      <c r="JO45" s="21"/>
      <c r="JP45" s="21"/>
      <c r="JQ45" s="21"/>
      <c r="JR45" s="21"/>
      <c r="JS45" s="21"/>
      <c r="JT45" s="21"/>
      <c r="JU45" s="21"/>
      <c r="JV45" s="21"/>
      <c r="JW45" s="21"/>
      <c r="JX45" s="21"/>
      <c r="JY45" s="21"/>
      <c r="JZ45" s="21"/>
      <c r="KA45" s="21"/>
      <c r="KB45" s="21"/>
      <c r="KC45" s="21"/>
      <c r="KD45" s="21"/>
      <c r="KE45" s="21"/>
      <c r="KF45" s="21"/>
      <c r="KG45" s="21"/>
      <c r="KH45" s="21"/>
      <c r="KI45" s="21"/>
      <c r="KJ45" s="21"/>
      <c r="KK45" s="21"/>
      <c r="KL45" s="21"/>
      <c r="KM45" s="21"/>
      <c r="KN45" s="21"/>
      <c r="KO45" s="21"/>
      <c r="KP45" s="21"/>
      <c r="KQ45" s="21"/>
      <c r="KR45" s="21"/>
      <c r="KS45" s="21"/>
      <c r="KT45" s="21"/>
      <c r="KU45" s="21"/>
      <c r="KV45" s="21"/>
      <c r="KW45" s="21"/>
      <c r="KX45" s="21"/>
      <c r="KY45" s="21"/>
      <c r="KZ45" s="21"/>
      <c r="LA45" s="21"/>
      <c r="LB45" s="21"/>
      <c r="LC45" s="21"/>
      <c r="LD45" s="21"/>
      <c r="LE45" s="21"/>
      <c r="LF45" s="21"/>
      <c r="LG45" s="21"/>
      <c r="LH45" s="21"/>
      <c r="LI45" s="21"/>
      <c r="LJ45" s="21"/>
      <c r="LK45" s="21"/>
      <c r="LL45" s="21"/>
      <c r="LM45" s="21"/>
      <c r="LN45" s="21"/>
      <c r="LO45" s="21"/>
      <c r="LP45" s="21"/>
      <c r="LQ45" s="21"/>
      <c r="LR45" s="21"/>
      <c r="LS45" s="21"/>
      <c r="LT45" s="21"/>
      <c r="LU45" s="21"/>
      <c r="LV45" s="21"/>
      <c r="LW45" s="21"/>
      <c r="LX45" s="21"/>
      <c r="LY45" s="21"/>
      <c r="LZ45" s="21"/>
      <c r="MA45" s="21"/>
      <c r="MB45" s="21"/>
      <c r="MC45" s="21"/>
      <c r="MD45" s="21"/>
      <c r="ME45" s="21"/>
      <c r="MF45" s="21"/>
      <c r="MG45" s="21"/>
      <c r="MH45" s="21"/>
      <c r="MI45" s="21"/>
      <c r="MJ45" s="21"/>
      <c r="MK45" s="21"/>
      <c r="ML45" s="21"/>
      <c r="MM45" s="21"/>
      <c r="MN45" s="21"/>
      <c r="MO45" s="21"/>
      <c r="MP45" s="21"/>
      <c r="MQ45" s="21"/>
      <c r="MR45" s="21"/>
      <c r="MS45" s="21"/>
      <c r="MT45" s="21"/>
      <c r="MU45" s="21"/>
      <c r="MV45" s="21"/>
      <c r="MW45" s="21"/>
      <c r="MX45" s="21"/>
      <c r="MY45" s="21"/>
      <c r="MZ45" s="21"/>
      <c r="NA45" s="21"/>
      <c r="NB45" s="21"/>
      <c r="NC45" s="21"/>
      <c r="ND45" s="21"/>
      <c r="NE45" s="21"/>
      <c r="NF45" s="21"/>
      <c r="NG45" s="21"/>
      <c r="NH45" s="21"/>
      <c r="NI45" s="21"/>
      <c r="NJ45" s="21"/>
      <c r="NK45" s="21"/>
      <c r="NL45" s="21"/>
      <c r="NM45" s="21"/>
      <c r="NN45" s="21"/>
      <c r="NO45" s="21"/>
      <c r="NP45" s="21"/>
      <c r="NQ45" s="21"/>
      <c r="NR45" s="21"/>
      <c r="NS45" s="21"/>
      <c r="NT45" s="21"/>
      <c r="NU45" s="21"/>
      <c r="NV45" s="21"/>
      <c r="NW45" s="21"/>
      <c r="NX45" s="21"/>
      <c r="NY45" s="21"/>
      <c r="NZ45" s="21"/>
      <c r="OA45" s="21"/>
      <c r="OB45" s="21"/>
      <c r="OC45" s="21"/>
      <c r="OD45" s="21"/>
      <c r="OE45" s="21"/>
      <c r="OF45" s="21"/>
      <c r="OG45" s="21"/>
      <c r="OH45" s="21"/>
      <c r="OI45" s="21"/>
      <c r="OJ45" s="21"/>
      <c r="OK45" s="21"/>
      <c r="OL45" s="21"/>
      <c r="OM45" s="21"/>
      <c r="ON45" s="21"/>
      <c r="OO45" s="21"/>
      <c r="OP45" s="21"/>
      <c r="OQ45" s="21"/>
      <c r="OR45" s="21"/>
      <c r="OS45" s="21"/>
      <c r="OT45" s="21"/>
      <c r="OU45" s="21"/>
      <c r="OV45" s="21"/>
      <c r="OW45" s="21"/>
      <c r="OX45" s="21"/>
      <c r="OY45" s="21"/>
      <c r="OZ45" s="21"/>
      <c r="PA45" s="21"/>
      <c r="PB45" s="21"/>
      <c r="PC45" s="21"/>
      <c r="PD45" s="21"/>
      <c r="PE45" s="21"/>
      <c r="PF45" s="21"/>
      <c r="PG45" s="21"/>
      <c r="PH45" s="21"/>
      <c r="PI45" s="21"/>
      <c r="PJ45" s="21"/>
      <c r="PK45" s="21"/>
      <c r="PL45" s="21"/>
      <c r="PM45" s="21"/>
      <c r="PN45" s="21"/>
      <c r="PO45" s="21"/>
      <c r="PP45" s="21"/>
      <c r="PQ45" s="21"/>
      <c r="PR45" s="21"/>
      <c r="PS45" s="21"/>
      <c r="PT45" s="21"/>
      <c r="PU45" s="21"/>
      <c r="PV45" s="21"/>
      <c r="PW45" s="21"/>
      <c r="PX45" s="21"/>
      <c r="PY45" s="21"/>
      <c r="PZ45" s="21"/>
      <c r="QA45" s="21"/>
      <c r="QB45" s="21"/>
      <c r="QC45" s="21"/>
      <c r="QD45" s="21"/>
      <c r="QE45" s="21"/>
      <c r="QF45" s="21"/>
      <c r="QG45" s="21"/>
      <c r="QH45" s="21"/>
      <c r="QI45" s="21"/>
      <c r="QJ45" s="21"/>
      <c r="QK45" s="21"/>
      <c r="QL45" s="21"/>
      <c r="QM45" s="21"/>
      <c r="QN45" s="21"/>
      <c r="QO45" s="21"/>
      <c r="QP45" s="21"/>
      <c r="QQ45" s="21"/>
      <c r="QR45" s="21"/>
      <c r="QS45" s="21"/>
      <c r="QT45" s="21"/>
      <c r="QU45" s="21"/>
      <c r="QV45" s="21"/>
      <c r="QW45" s="21"/>
      <c r="QX45" s="21"/>
      <c r="QY45" s="21"/>
      <c r="QZ45" s="21"/>
      <c r="RA45" s="21"/>
      <c r="RB45" s="21"/>
      <c r="RC45" s="21"/>
      <c r="RD45" s="21"/>
      <c r="RE45" s="21"/>
      <c r="RF45" s="21"/>
      <c r="RG45" s="21"/>
      <c r="RH45" s="21"/>
      <c r="RI45" s="21"/>
      <c r="RJ45" s="21"/>
      <c r="RK45" s="21"/>
      <c r="RL45" s="21"/>
      <c r="RM45" s="21"/>
      <c r="RN45" s="21"/>
      <c r="RO45" s="21"/>
      <c r="RP45" s="21"/>
      <c r="RQ45" s="21"/>
      <c r="RR45" s="21"/>
      <c r="RS45" s="21"/>
      <c r="RT45" s="21"/>
      <c r="RU45" s="21"/>
      <c r="RV45" s="21"/>
      <c r="RW45" s="21"/>
      <c r="RX45" s="21"/>
      <c r="RY45" s="21"/>
      <c r="RZ45" s="21"/>
      <c r="SA45" s="21"/>
      <c r="SB45" s="21"/>
      <c r="SC45" s="21"/>
      <c r="SD45" s="21"/>
      <c r="SE45" s="21"/>
      <c r="SF45" s="21"/>
      <c r="SG45" s="21"/>
      <c r="SH45" s="21"/>
      <c r="SI45" s="21"/>
      <c r="SJ45" s="21"/>
      <c r="SK45" s="21"/>
      <c r="SL45" s="21"/>
      <c r="SM45" s="21"/>
      <c r="SN45" s="21"/>
      <c r="SO45" s="21"/>
      <c r="SP45" s="21"/>
      <c r="SQ45" s="21"/>
      <c r="SR45" s="21"/>
      <c r="SS45" s="21"/>
      <c r="ST45" s="21"/>
      <c r="SU45" s="21"/>
      <c r="SV45" s="21"/>
      <c r="SW45" s="21"/>
      <c r="SX45" s="21"/>
      <c r="SY45" s="21"/>
      <c r="SZ45" s="21"/>
      <c r="TA45" s="21"/>
      <c r="TB45" s="21"/>
      <c r="TC45" s="21"/>
      <c r="TD45" s="21"/>
      <c r="TE45" s="21"/>
      <c r="TF45" s="21"/>
      <c r="TG45" s="21"/>
      <c r="TH45" s="21"/>
      <c r="TI45" s="21"/>
      <c r="TJ45" s="21"/>
      <c r="TK45" s="21"/>
      <c r="TL45" s="21"/>
      <c r="TM45" s="21"/>
      <c r="TN45" s="21"/>
      <c r="TO45" s="21"/>
      <c r="TP45" s="21"/>
      <c r="TQ45" s="21"/>
      <c r="TR45" s="21"/>
      <c r="TS45" s="21"/>
      <c r="TT45" s="21"/>
      <c r="TU45" s="21"/>
      <c r="TV45" s="21"/>
      <c r="TW45" s="21"/>
      <c r="TX45" s="21"/>
      <c r="TY45" s="21"/>
      <c r="TZ45" s="21"/>
      <c r="UA45" s="21"/>
      <c r="UB45" s="21"/>
      <c r="UC45" s="21"/>
      <c r="UD45" s="21"/>
      <c r="UE45" s="21"/>
      <c r="UF45" s="21"/>
      <c r="UG45" s="21"/>
      <c r="UH45" s="21"/>
      <c r="UI45" s="21"/>
      <c r="UJ45" s="21"/>
      <c r="UK45" s="21"/>
      <c r="UL45" s="21"/>
      <c r="UM45" s="21"/>
      <c r="UN45" s="21"/>
      <c r="UO45" s="21"/>
      <c r="UP45" s="21"/>
      <c r="UQ45" s="21"/>
      <c r="UR45" s="21"/>
      <c r="US45" s="21"/>
      <c r="UT45" s="21"/>
      <c r="UU45" s="21"/>
      <c r="UV45" s="21"/>
      <c r="UW45" s="21"/>
      <c r="UX45" s="21"/>
      <c r="UY45" s="21"/>
      <c r="UZ45" s="21"/>
      <c r="VA45" s="21"/>
      <c r="VB45" s="21"/>
      <c r="VC45" s="21"/>
      <c r="VD45" s="21"/>
      <c r="VE45" s="21"/>
      <c r="VF45" s="21"/>
      <c r="VG45" s="21"/>
      <c r="VH45" s="21"/>
      <c r="VI45" s="21"/>
      <c r="VJ45" s="21"/>
      <c r="VK45" s="21"/>
      <c r="VL45" s="21"/>
      <c r="VM45" s="21"/>
      <c r="VN45" s="21"/>
      <c r="VO45" s="21"/>
      <c r="VP45" s="21"/>
      <c r="VQ45" s="21"/>
      <c r="VR45" s="21"/>
      <c r="VS45" s="21"/>
      <c r="VT45" s="21"/>
      <c r="VU45" s="21"/>
      <c r="VV45" s="21"/>
      <c r="VW45" s="21"/>
      <c r="VX45" s="21"/>
      <c r="VY45" s="21"/>
      <c r="VZ45" s="21"/>
      <c r="WA45" s="21"/>
      <c r="WB45" s="21"/>
      <c r="WC45" s="21"/>
      <c r="WD45" s="21"/>
      <c r="WE45" s="21"/>
      <c r="WF45" s="21"/>
      <c r="WG45" s="21"/>
      <c r="WH45" s="21"/>
      <c r="WI45" s="21"/>
      <c r="WJ45" s="21"/>
      <c r="WK45" s="21"/>
      <c r="WL45" s="21"/>
      <c r="WM45" s="21"/>
      <c r="WN45" s="21"/>
      <c r="WO45" s="21"/>
      <c r="WP45" s="21"/>
      <c r="WQ45" s="21"/>
      <c r="WR45" s="21"/>
      <c r="WS45" s="21"/>
      <c r="WT45" s="21"/>
      <c r="WU45" s="21"/>
      <c r="WV45" s="21"/>
      <c r="WW45" s="21"/>
      <c r="WX45" s="21"/>
      <c r="WY45" s="21"/>
      <c r="WZ45" s="21"/>
      <c r="XA45" s="21"/>
      <c r="XB45" s="21"/>
      <c r="XC45" s="21"/>
      <c r="XD45" s="21"/>
      <c r="XE45" s="21"/>
      <c r="XF45" s="21"/>
      <c r="XG45" s="21"/>
      <c r="XH45" s="21"/>
      <c r="XI45" s="21"/>
      <c r="XJ45" s="21"/>
      <c r="XK45" s="21"/>
      <c r="XL45" s="21"/>
      <c r="XM45" s="21"/>
      <c r="XN45" s="21"/>
      <c r="XO45" s="21"/>
      <c r="XP45" s="21"/>
      <c r="XQ45" s="21"/>
      <c r="XR45" s="21"/>
      <c r="XS45" s="21"/>
      <c r="XT45" s="21"/>
      <c r="XU45" s="21"/>
      <c r="XV45" s="21"/>
      <c r="XW45" s="21"/>
      <c r="XX45" s="21"/>
      <c r="XY45" s="21"/>
      <c r="XZ45" s="21"/>
      <c r="YA45" s="21"/>
      <c r="YB45" s="21"/>
      <c r="YC45" s="21"/>
      <c r="YD45" s="21"/>
      <c r="YE45" s="21"/>
      <c r="YF45" s="21"/>
      <c r="YG45" s="21"/>
      <c r="YH45" s="21"/>
      <c r="YI45" s="21"/>
      <c r="YJ45" s="21"/>
      <c r="YK45" s="21"/>
      <c r="YL45" s="21"/>
      <c r="YM45" s="21"/>
      <c r="YN45" s="21"/>
      <c r="YO45" s="21"/>
      <c r="YP45" s="21"/>
      <c r="YQ45" s="21"/>
      <c r="YR45" s="21"/>
      <c r="YS45" s="21"/>
      <c r="YT45" s="21"/>
      <c r="YU45" s="21"/>
      <c r="YV45" s="21"/>
      <c r="YW45" s="21"/>
      <c r="YX45" s="21"/>
      <c r="YY45" s="21"/>
      <c r="YZ45" s="21"/>
      <c r="ZA45" s="21"/>
      <c r="ZB45" s="21"/>
      <c r="ZC45" s="21"/>
      <c r="ZD45" s="21"/>
      <c r="ZE45" s="21"/>
      <c r="ZF45" s="21"/>
      <c r="ZG45" s="21"/>
      <c r="ZH45" s="21"/>
      <c r="ZI45" s="21"/>
      <c r="ZJ45" s="21"/>
      <c r="ZK45" s="21"/>
      <c r="ZL45" s="21"/>
      <c r="ZM45" s="21"/>
      <c r="ZN45" s="21"/>
      <c r="ZO45" s="21"/>
      <c r="ZP45" s="21"/>
      <c r="ZQ45" s="21"/>
      <c r="ZR45" s="21"/>
      <c r="ZS45" s="21"/>
      <c r="ZT45" s="21"/>
      <c r="ZU45" s="21"/>
      <c r="ZV45" s="21"/>
      <c r="ZW45" s="21"/>
      <c r="ZX45" s="21"/>
      <c r="ZY45" s="21"/>
      <c r="ZZ45" s="21"/>
      <c r="AAA45" s="21"/>
      <c r="AAB45" s="21"/>
      <c r="AAC45" s="21"/>
      <c r="AAD45" s="21"/>
      <c r="AAE45" s="21"/>
      <c r="AAF45" s="21"/>
    </row>
    <row r="46" spans="1:708" ht="57" customHeight="1" x14ac:dyDescent="0.25">
      <c r="A46" s="504" t="s">
        <v>43</v>
      </c>
      <c r="B46" s="558" t="s">
        <v>44</v>
      </c>
      <c r="C46" s="507" t="s">
        <v>45</v>
      </c>
      <c r="D46" s="507" t="s">
        <v>46</v>
      </c>
      <c r="E46" s="507" t="s">
        <v>47</v>
      </c>
      <c r="F46" s="507" t="s">
        <v>48</v>
      </c>
      <c r="G46" s="507" t="s">
        <v>49</v>
      </c>
      <c r="H46" s="507" t="s">
        <v>50</v>
      </c>
      <c r="I46" s="560" t="s">
        <v>51</v>
      </c>
      <c r="J46" s="391" t="s">
        <v>52</v>
      </c>
      <c r="K46" s="391" t="s">
        <v>235</v>
      </c>
      <c r="L46" s="391" t="s">
        <v>54</v>
      </c>
      <c r="M46" s="391" t="s">
        <v>55</v>
      </c>
      <c r="N46" s="391" t="s">
        <v>56</v>
      </c>
      <c r="O46" s="391"/>
      <c r="P46" s="391">
        <v>276</v>
      </c>
      <c r="Q46" s="66" t="s">
        <v>57</v>
      </c>
      <c r="R46" s="66" t="s">
        <v>58</v>
      </c>
      <c r="S46" s="67" t="s">
        <v>56</v>
      </c>
      <c r="T46" s="67"/>
      <c r="U46" s="67">
        <v>6</v>
      </c>
      <c r="V46" s="582">
        <v>433724262</v>
      </c>
      <c r="W46" s="582">
        <v>64326892613</v>
      </c>
      <c r="X46" s="67" t="s">
        <v>236</v>
      </c>
      <c r="Y46" s="391">
        <v>30</v>
      </c>
      <c r="Z46" s="391">
        <f>+P46</f>
        <v>276</v>
      </c>
      <c r="AA46" s="392">
        <f>+Y46/Z46</f>
        <v>0.10869565217391304</v>
      </c>
      <c r="AB46" s="391" t="s">
        <v>237</v>
      </c>
      <c r="AC46" s="67">
        <v>2</v>
      </c>
      <c r="AD46" s="67">
        <f t="shared" ref="AD46:AD52" si="10">+U46</f>
        <v>6</v>
      </c>
      <c r="AE46" s="68">
        <f t="shared" ref="AE46:AE52" si="11">+AC46/AD46</f>
        <v>0.33333333333333331</v>
      </c>
      <c r="AF46" s="67" t="s">
        <v>238</v>
      </c>
      <c r="AG46" s="562">
        <v>55</v>
      </c>
      <c r="AH46" s="562">
        <v>276</v>
      </c>
      <c r="AI46" s="563">
        <v>0.19927536231884058</v>
      </c>
      <c r="AJ46" s="562" t="s">
        <v>239</v>
      </c>
      <c r="AK46" s="69">
        <v>2</v>
      </c>
      <c r="AL46" s="69">
        <v>6</v>
      </c>
      <c r="AM46" s="70">
        <v>0.33333333333333331</v>
      </c>
      <c r="AN46" s="69" t="s">
        <v>240</v>
      </c>
      <c r="AO46" s="562">
        <v>75</v>
      </c>
      <c r="AP46" s="562">
        <f>+P46</f>
        <v>276</v>
      </c>
      <c r="AQ46" s="563">
        <f>+AO46/AP46</f>
        <v>0.27173913043478259</v>
      </c>
      <c r="AR46" s="562" t="s">
        <v>241</v>
      </c>
      <c r="AS46" s="69">
        <v>2</v>
      </c>
      <c r="AT46" s="69">
        <f t="shared" ref="AT46:AT52" si="12">+U46</f>
        <v>6</v>
      </c>
      <c r="AU46" s="70">
        <f t="shared" ref="AU46:AU52" si="13">+AS46/AT46</f>
        <v>0.33333333333333331</v>
      </c>
      <c r="AV46" s="69" t="s">
        <v>242</v>
      </c>
    </row>
    <row r="47" spans="1:708" ht="57" customHeight="1" x14ac:dyDescent="0.25">
      <c r="A47" s="504"/>
      <c r="B47" s="559"/>
      <c r="C47" s="508"/>
      <c r="D47" s="508"/>
      <c r="E47" s="508"/>
      <c r="F47" s="508"/>
      <c r="G47" s="508"/>
      <c r="H47" s="508"/>
      <c r="I47" s="561"/>
      <c r="J47" s="391"/>
      <c r="K47" s="391"/>
      <c r="L47" s="391"/>
      <c r="M47" s="391"/>
      <c r="N47" s="391"/>
      <c r="O47" s="391"/>
      <c r="P47" s="391"/>
      <c r="Q47" s="73" t="s">
        <v>66</v>
      </c>
      <c r="R47" s="73" t="s">
        <v>67</v>
      </c>
      <c r="S47" s="74" t="s">
        <v>56</v>
      </c>
      <c r="T47" s="74"/>
      <c r="U47" s="74">
        <v>260</v>
      </c>
      <c r="V47" s="582"/>
      <c r="W47" s="582"/>
      <c r="X47" s="74" t="s">
        <v>236</v>
      </c>
      <c r="Y47" s="391"/>
      <c r="Z47" s="391"/>
      <c r="AA47" s="392"/>
      <c r="AB47" s="391"/>
      <c r="AC47" s="74">
        <v>14</v>
      </c>
      <c r="AD47" s="74">
        <f t="shared" si="10"/>
        <v>260</v>
      </c>
      <c r="AE47" s="76">
        <f t="shared" si="11"/>
        <v>5.3846153846153849E-2</v>
      </c>
      <c r="AF47" s="74" t="s">
        <v>243</v>
      </c>
      <c r="AG47" s="562"/>
      <c r="AH47" s="562"/>
      <c r="AI47" s="563"/>
      <c r="AJ47" s="562"/>
      <c r="AK47" s="77">
        <v>32</v>
      </c>
      <c r="AL47" s="77">
        <v>260</v>
      </c>
      <c r="AM47" s="78">
        <v>0.12307692307692308</v>
      </c>
      <c r="AN47" s="77" t="s">
        <v>244</v>
      </c>
      <c r="AO47" s="562"/>
      <c r="AP47" s="562"/>
      <c r="AQ47" s="563"/>
      <c r="AR47" s="562"/>
      <c r="AS47" s="77">
        <v>49</v>
      </c>
      <c r="AT47" s="77">
        <f t="shared" si="12"/>
        <v>260</v>
      </c>
      <c r="AU47" s="78">
        <f t="shared" si="13"/>
        <v>0.18846153846153846</v>
      </c>
      <c r="AV47" s="77" t="s">
        <v>245</v>
      </c>
    </row>
    <row r="48" spans="1:708" ht="57" customHeight="1" x14ac:dyDescent="0.25">
      <c r="A48" s="490" t="s">
        <v>43</v>
      </c>
      <c r="B48" s="566" t="s">
        <v>44</v>
      </c>
      <c r="C48" s="567" t="s">
        <v>45</v>
      </c>
      <c r="D48" s="567" t="s">
        <v>46</v>
      </c>
      <c r="E48" s="567" t="s">
        <v>71</v>
      </c>
      <c r="F48" s="567" t="s">
        <v>48</v>
      </c>
      <c r="G48" s="567" t="s">
        <v>49</v>
      </c>
      <c r="H48" s="567" t="s">
        <v>50</v>
      </c>
      <c r="I48" s="577" t="s">
        <v>51</v>
      </c>
      <c r="J48" s="390" t="s">
        <v>52</v>
      </c>
      <c r="K48" s="390" t="s">
        <v>235</v>
      </c>
      <c r="L48" s="390" t="s">
        <v>72</v>
      </c>
      <c r="M48" s="390" t="s">
        <v>112</v>
      </c>
      <c r="N48" s="390" t="s">
        <v>74</v>
      </c>
      <c r="O48" s="390"/>
      <c r="P48" s="389">
        <v>0.89</v>
      </c>
      <c r="Q48" s="66" t="s">
        <v>113</v>
      </c>
      <c r="R48" s="66" t="s">
        <v>114</v>
      </c>
      <c r="S48" s="67" t="s">
        <v>74</v>
      </c>
      <c r="T48" s="67"/>
      <c r="U48" s="82">
        <v>0.89</v>
      </c>
      <c r="V48" s="585">
        <v>1168241149</v>
      </c>
      <c r="W48" s="582"/>
      <c r="X48" s="67" t="s">
        <v>236</v>
      </c>
      <c r="Y48" s="392">
        <f>4/4</f>
        <v>1</v>
      </c>
      <c r="Z48" s="576">
        <f>+P48</f>
        <v>0.89</v>
      </c>
      <c r="AA48" s="392">
        <f>+Y48/Z48</f>
        <v>1.1235955056179776</v>
      </c>
      <c r="AB48" s="391" t="s">
        <v>246</v>
      </c>
      <c r="AC48" s="68">
        <f>1/1</f>
        <v>1</v>
      </c>
      <c r="AD48" s="82">
        <f t="shared" si="10"/>
        <v>0.89</v>
      </c>
      <c r="AE48" s="68">
        <f t="shared" si="11"/>
        <v>1.1235955056179776</v>
      </c>
      <c r="AF48" s="67" t="s">
        <v>247</v>
      </c>
      <c r="AG48" s="563">
        <v>1</v>
      </c>
      <c r="AH48" s="573">
        <v>0.89</v>
      </c>
      <c r="AI48" s="563">
        <v>1.1235955056179776</v>
      </c>
      <c r="AJ48" s="562" t="s">
        <v>248</v>
      </c>
      <c r="AK48" s="70">
        <v>1</v>
      </c>
      <c r="AL48" s="84">
        <v>0.89</v>
      </c>
      <c r="AM48" s="70">
        <v>1.1235955056179776</v>
      </c>
      <c r="AN48" s="69" t="s">
        <v>249</v>
      </c>
      <c r="AO48" s="563">
        <f>11/11</f>
        <v>1</v>
      </c>
      <c r="AP48" s="573">
        <f>+P48</f>
        <v>0.89</v>
      </c>
      <c r="AQ48" s="563">
        <f>+AO48/AP48</f>
        <v>1.1235955056179776</v>
      </c>
      <c r="AR48" s="562" t="s">
        <v>250</v>
      </c>
      <c r="AS48" s="70">
        <f>1/1</f>
        <v>1</v>
      </c>
      <c r="AT48" s="84">
        <f t="shared" si="12"/>
        <v>0.89</v>
      </c>
      <c r="AU48" s="70">
        <f t="shared" si="13"/>
        <v>1.1235955056179776</v>
      </c>
      <c r="AV48" s="69" t="s">
        <v>251</v>
      </c>
    </row>
    <row r="49" spans="1:708" ht="57" customHeight="1" x14ac:dyDescent="0.25">
      <c r="A49" s="491"/>
      <c r="B49" s="566"/>
      <c r="C49" s="568"/>
      <c r="D49" s="568"/>
      <c r="E49" s="568"/>
      <c r="F49" s="568"/>
      <c r="G49" s="568"/>
      <c r="H49" s="568"/>
      <c r="I49" s="578"/>
      <c r="J49" s="390"/>
      <c r="K49" s="390"/>
      <c r="L49" s="390"/>
      <c r="M49" s="390"/>
      <c r="N49" s="390"/>
      <c r="O49" s="390"/>
      <c r="P49" s="389"/>
      <c r="Q49" s="73" t="s">
        <v>121</v>
      </c>
      <c r="R49" s="73" t="s">
        <v>122</v>
      </c>
      <c r="S49" s="74" t="s">
        <v>74</v>
      </c>
      <c r="T49" s="74"/>
      <c r="U49" s="85">
        <v>0.89</v>
      </c>
      <c r="V49" s="585"/>
      <c r="W49" s="582"/>
      <c r="X49" s="74" t="s">
        <v>236</v>
      </c>
      <c r="Y49" s="392"/>
      <c r="Z49" s="391"/>
      <c r="AA49" s="392"/>
      <c r="AB49" s="391"/>
      <c r="AC49" s="76">
        <f>1/1</f>
        <v>1</v>
      </c>
      <c r="AD49" s="85">
        <f t="shared" si="10"/>
        <v>0.89</v>
      </c>
      <c r="AE49" s="76">
        <f t="shared" si="11"/>
        <v>1.1235955056179776</v>
      </c>
      <c r="AF49" s="74" t="s">
        <v>252</v>
      </c>
      <c r="AG49" s="563"/>
      <c r="AH49" s="562"/>
      <c r="AI49" s="563"/>
      <c r="AJ49" s="562"/>
      <c r="AK49" s="78">
        <v>0.83333333333333337</v>
      </c>
      <c r="AL49" s="86">
        <v>0.89</v>
      </c>
      <c r="AM49" s="78">
        <v>0.93632958801498134</v>
      </c>
      <c r="AN49" s="77" t="s">
        <v>253</v>
      </c>
      <c r="AO49" s="563"/>
      <c r="AP49" s="562"/>
      <c r="AQ49" s="563"/>
      <c r="AR49" s="562"/>
      <c r="AS49" s="78">
        <f>8/9</f>
        <v>0.88888888888888884</v>
      </c>
      <c r="AT49" s="86">
        <f t="shared" si="12"/>
        <v>0.89</v>
      </c>
      <c r="AU49" s="78">
        <f t="shared" si="13"/>
        <v>0.99875156054931324</v>
      </c>
      <c r="AV49" s="77" t="s">
        <v>254</v>
      </c>
    </row>
    <row r="50" spans="1:708" ht="57" customHeight="1" x14ac:dyDescent="0.25">
      <c r="A50" s="504" t="s">
        <v>43</v>
      </c>
      <c r="B50" s="505" t="s">
        <v>44</v>
      </c>
      <c r="C50" s="507" t="s">
        <v>45</v>
      </c>
      <c r="D50" s="507" t="s">
        <v>46</v>
      </c>
      <c r="E50" s="507" t="s">
        <v>47</v>
      </c>
      <c r="F50" s="507" t="s">
        <v>48</v>
      </c>
      <c r="G50" s="507" t="s">
        <v>49</v>
      </c>
      <c r="H50" s="507" t="s">
        <v>50</v>
      </c>
      <c r="I50" s="560" t="s">
        <v>78</v>
      </c>
      <c r="J50" s="391" t="s">
        <v>52</v>
      </c>
      <c r="K50" s="391" t="s">
        <v>235</v>
      </c>
      <c r="L50" s="391" t="s">
        <v>79</v>
      </c>
      <c r="M50" s="391" t="s">
        <v>80</v>
      </c>
      <c r="N50" s="391" t="s">
        <v>56</v>
      </c>
      <c r="O50" s="391"/>
      <c r="P50" s="391">
        <v>1351</v>
      </c>
      <c r="Q50" s="66" t="s">
        <v>81</v>
      </c>
      <c r="R50" s="88" t="s">
        <v>82</v>
      </c>
      <c r="S50" s="87" t="s">
        <v>56</v>
      </c>
      <c r="T50" s="88"/>
      <c r="U50" s="87">
        <v>100</v>
      </c>
      <c r="V50" s="583">
        <v>3574719577</v>
      </c>
      <c r="W50" s="582"/>
      <c r="X50" s="67" t="s">
        <v>236</v>
      </c>
      <c r="Y50" s="584">
        <v>8</v>
      </c>
      <c r="Z50" s="584">
        <f>+P50</f>
        <v>1351</v>
      </c>
      <c r="AA50" s="581">
        <f>+Y50/Z50</f>
        <v>5.9215396002960767E-3</v>
      </c>
      <c r="AB50" s="391" t="s">
        <v>255</v>
      </c>
      <c r="AC50" s="87">
        <v>13</v>
      </c>
      <c r="AD50" s="87">
        <f t="shared" si="10"/>
        <v>100</v>
      </c>
      <c r="AE50" s="90">
        <f t="shared" si="11"/>
        <v>0.13</v>
      </c>
      <c r="AF50" s="67" t="s">
        <v>256</v>
      </c>
      <c r="AG50" s="586">
        <v>105</v>
      </c>
      <c r="AH50" s="586">
        <v>1351</v>
      </c>
      <c r="AI50" s="587">
        <v>7.7720207253886009E-2</v>
      </c>
      <c r="AJ50" s="562" t="s">
        <v>257</v>
      </c>
      <c r="AK50" s="91">
        <v>22</v>
      </c>
      <c r="AL50" s="91">
        <v>100</v>
      </c>
      <c r="AM50" s="92">
        <v>0.22</v>
      </c>
      <c r="AN50" s="69" t="s">
        <v>258</v>
      </c>
      <c r="AO50" s="586">
        <v>216</v>
      </c>
      <c r="AP50" s="586">
        <f>+P50</f>
        <v>1351</v>
      </c>
      <c r="AQ50" s="587">
        <f>+AO50/AP50</f>
        <v>0.15988156920799407</v>
      </c>
      <c r="AR50" s="562" t="s">
        <v>259</v>
      </c>
      <c r="AS50" s="91">
        <v>26</v>
      </c>
      <c r="AT50" s="91">
        <f t="shared" si="12"/>
        <v>100</v>
      </c>
      <c r="AU50" s="92">
        <f t="shared" si="13"/>
        <v>0.26</v>
      </c>
      <c r="AV50" s="69" t="s">
        <v>260</v>
      </c>
    </row>
    <row r="51" spans="1:708" ht="57" customHeight="1" x14ac:dyDescent="0.25">
      <c r="A51" s="504"/>
      <c r="B51" s="506"/>
      <c r="C51" s="571"/>
      <c r="D51" s="571"/>
      <c r="E51" s="571"/>
      <c r="F51" s="571"/>
      <c r="G51" s="571"/>
      <c r="H51" s="571"/>
      <c r="I51" s="572"/>
      <c r="J51" s="391"/>
      <c r="K51" s="391"/>
      <c r="L51" s="391"/>
      <c r="M51" s="391"/>
      <c r="N51" s="391"/>
      <c r="O51" s="391"/>
      <c r="P51" s="391"/>
      <c r="Q51" s="73" t="s">
        <v>133</v>
      </c>
      <c r="R51" s="73" t="s">
        <v>134</v>
      </c>
      <c r="S51" s="74" t="s">
        <v>56</v>
      </c>
      <c r="T51" s="73"/>
      <c r="U51" s="74">
        <v>101</v>
      </c>
      <c r="V51" s="583"/>
      <c r="W51" s="582"/>
      <c r="X51" s="74" t="s">
        <v>236</v>
      </c>
      <c r="Y51" s="584"/>
      <c r="Z51" s="584"/>
      <c r="AA51" s="581"/>
      <c r="AB51" s="391"/>
      <c r="AC51" s="74">
        <v>0</v>
      </c>
      <c r="AD51" s="74">
        <f t="shared" si="10"/>
        <v>101</v>
      </c>
      <c r="AE51" s="76">
        <f t="shared" si="11"/>
        <v>0</v>
      </c>
      <c r="AF51" s="74" t="s">
        <v>229</v>
      </c>
      <c r="AG51" s="586"/>
      <c r="AH51" s="586"/>
      <c r="AI51" s="587"/>
      <c r="AJ51" s="562"/>
      <c r="AK51" s="77">
        <v>9</v>
      </c>
      <c r="AL51" s="77">
        <v>101</v>
      </c>
      <c r="AM51" s="78">
        <v>8.9108910891089105E-2</v>
      </c>
      <c r="AN51" s="77" t="s">
        <v>261</v>
      </c>
      <c r="AO51" s="586"/>
      <c r="AP51" s="586"/>
      <c r="AQ51" s="587"/>
      <c r="AR51" s="562"/>
      <c r="AS51" s="77">
        <v>23</v>
      </c>
      <c r="AT51" s="77">
        <f t="shared" si="12"/>
        <v>101</v>
      </c>
      <c r="AU51" s="78">
        <f t="shared" si="13"/>
        <v>0.22772277227722773</v>
      </c>
      <c r="AV51" s="77" t="s">
        <v>262</v>
      </c>
    </row>
    <row r="52" spans="1:708" ht="57" customHeight="1" x14ac:dyDescent="0.25">
      <c r="A52" s="504"/>
      <c r="B52" s="506"/>
      <c r="C52" s="571"/>
      <c r="D52" s="571"/>
      <c r="E52" s="571"/>
      <c r="F52" s="571"/>
      <c r="G52" s="571"/>
      <c r="H52" s="571"/>
      <c r="I52" s="572"/>
      <c r="J52" s="391"/>
      <c r="K52" s="391"/>
      <c r="L52" s="391"/>
      <c r="M52" s="391"/>
      <c r="N52" s="391"/>
      <c r="O52" s="391"/>
      <c r="P52" s="391"/>
      <c r="Q52" s="88" t="s">
        <v>138</v>
      </c>
      <c r="R52" s="66" t="s">
        <v>139</v>
      </c>
      <c r="S52" s="87" t="s">
        <v>56</v>
      </c>
      <c r="T52" s="88"/>
      <c r="U52" s="87">
        <v>1250</v>
      </c>
      <c r="V52" s="583"/>
      <c r="W52" s="582"/>
      <c r="X52" s="67" t="s">
        <v>236</v>
      </c>
      <c r="Y52" s="584"/>
      <c r="Z52" s="584"/>
      <c r="AA52" s="581"/>
      <c r="AB52" s="391"/>
      <c r="AC52" s="87">
        <v>57</v>
      </c>
      <c r="AD52" s="87">
        <f t="shared" si="10"/>
        <v>1250</v>
      </c>
      <c r="AE52" s="90">
        <f t="shared" si="11"/>
        <v>4.5600000000000002E-2</v>
      </c>
      <c r="AF52" s="67" t="s">
        <v>263</v>
      </c>
      <c r="AG52" s="586"/>
      <c r="AH52" s="586"/>
      <c r="AI52" s="587"/>
      <c r="AJ52" s="562"/>
      <c r="AK52" s="91">
        <v>154</v>
      </c>
      <c r="AL52" s="91">
        <v>1250</v>
      </c>
      <c r="AM52" s="92">
        <v>0.1232</v>
      </c>
      <c r="AN52" s="69" t="s">
        <v>264</v>
      </c>
      <c r="AO52" s="586"/>
      <c r="AP52" s="586"/>
      <c r="AQ52" s="587"/>
      <c r="AR52" s="562"/>
      <c r="AS52" s="91">
        <v>261</v>
      </c>
      <c r="AT52" s="91">
        <f t="shared" si="12"/>
        <v>1250</v>
      </c>
      <c r="AU52" s="92">
        <f t="shared" si="13"/>
        <v>0.20880000000000001</v>
      </c>
      <c r="AV52" s="69" t="s">
        <v>265</v>
      </c>
    </row>
    <row r="53" spans="1:708" s="22" customFormat="1" ht="68.25" customHeight="1" x14ac:dyDescent="0.25">
      <c r="A53" s="55"/>
      <c r="B53" s="55"/>
      <c r="C53" s="55"/>
      <c r="D53" s="55"/>
      <c r="E53" s="55"/>
      <c r="F53" s="55"/>
      <c r="G53" s="55"/>
      <c r="H53" s="55"/>
      <c r="I53" s="55"/>
      <c r="J53" s="55"/>
      <c r="K53" s="55"/>
      <c r="L53" s="55"/>
      <c r="M53" s="55"/>
      <c r="N53" s="55"/>
      <c r="O53" s="55"/>
      <c r="P53" s="56"/>
      <c r="Q53" s="55"/>
      <c r="R53" s="55"/>
      <c r="S53" s="56"/>
      <c r="T53" s="55"/>
      <c r="U53" s="55"/>
      <c r="V53" s="95"/>
      <c r="W53" s="95"/>
      <c r="X53" s="55"/>
      <c r="Y53" s="388" t="s">
        <v>99</v>
      </c>
      <c r="Z53" s="388"/>
      <c r="AA53" s="58">
        <f>AVERAGE(AA46:AA52)</f>
        <v>0.41273756579739557</v>
      </c>
      <c r="AB53" s="59"/>
      <c r="AC53" s="388" t="s">
        <v>100</v>
      </c>
      <c r="AD53" s="388"/>
      <c r="AE53" s="58">
        <f>AVERAGE(AE46:AE52)</f>
        <v>0.40142435691649175</v>
      </c>
      <c r="AF53" s="61"/>
      <c r="AG53" s="564" t="s">
        <v>99</v>
      </c>
      <c r="AH53" s="564"/>
      <c r="AI53" s="62">
        <v>0.46686369173023473</v>
      </c>
      <c r="AJ53" s="63"/>
      <c r="AK53" s="564" t="s">
        <v>100</v>
      </c>
      <c r="AL53" s="564"/>
      <c r="AM53" s="62">
        <v>0.42123489441918643</v>
      </c>
      <c r="AN53" s="65"/>
      <c r="AO53" s="388" t="s">
        <v>99</v>
      </c>
      <c r="AP53" s="388"/>
      <c r="AQ53" s="58">
        <f>AVERAGE(AQ46:AQ52)</f>
        <v>0.51840540175358474</v>
      </c>
      <c r="AR53" s="59"/>
      <c r="AS53" s="388" t="s">
        <v>100</v>
      </c>
      <c r="AT53" s="388"/>
      <c r="AU53" s="58">
        <f>AVERAGE(AU46:AU52)</f>
        <v>0.47723781574848434</v>
      </c>
      <c r="AV53" s="6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c r="DB53" s="21"/>
      <c r="DC53" s="21"/>
      <c r="DD53" s="21"/>
      <c r="DE53" s="21"/>
      <c r="DF53" s="21"/>
      <c r="DG53" s="21"/>
      <c r="DH53" s="21"/>
      <c r="DI53" s="21"/>
      <c r="DJ53" s="21"/>
      <c r="DK53" s="21"/>
      <c r="DL53" s="21"/>
      <c r="DM53" s="21"/>
      <c r="DN53" s="21"/>
      <c r="DO53" s="21"/>
      <c r="DP53" s="21"/>
      <c r="DQ53" s="21"/>
      <c r="DR53" s="21"/>
      <c r="DS53" s="21"/>
      <c r="DT53" s="21"/>
      <c r="DU53" s="21"/>
      <c r="DV53" s="21"/>
      <c r="DW53" s="21"/>
      <c r="DX53" s="21"/>
      <c r="DY53" s="21"/>
      <c r="DZ53" s="21"/>
      <c r="EA53" s="21"/>
      <c r="EB53" s="21"/>
      <c r="EC53" s="21"/>
      <c r="ED53" s="21"/>
      <c r="EE53" s="21"/>
      <c r="EF53" s="21"/>
      <c r="EG53" s="21"/>
      <c r="EH53" s="21"/>
      <c r="EI53" s="21"/>
      <c r="EJ53" s="21"/>
      <c r="EK53" s="21"/>
      <c r="EL53" s="21"/>
      <c r="EM53" s="21"/>
      <c r="EN53" s="21"/>
      <c r="EO53" s="21"/>
      <c r="EP53" s="21"/>
      <c r="EQ53" s="21"/>
      <c r="ER53" s="21"/>
      <c r="ES53" s="21"/>
      <c r="ET53" s="21"/>
      <c r="EU53" s="21"/>
      <c r="EV53" s="21"/>
      <c r="EW53" s="21"/>
      <c r="EX53" s="21"/>
      <c r="EY53" s="21"/>
      <c r="EZ53" s="21"/>
      <c r="FA53" s="21"/>
      <c r="FB53" s="21"/>
      <c r="FC53" s="21"/>
      <c r="FD53" s="21"/>
      <c r="FE53" s="21"/>
      <c r="FF53" s="21"/>
      <c r="FG53" s="21"/>
      <c r="FH53" s="21"/>
      <c r="FI53" s="21"/>
      <c r="FJ53" s="21"/>
      <c r="FK53" s="21"/>
      <c r="FL53" s="21"/>
      <c r="FM53" s="21"/>
      <c r="FN53" s="21"/>
      <c r="FO53" s="21"/>
      <c r="FP53" s="21"/>
      <c r="FQ53" s="21"/>
      <c r="FR53" s="21"/>
      <c r="FS53" s="21"/>
      <c r="FT53" s="21"/>
      <c r="FU53" s="21"/>
      <c r="FV53" s="21"/>
      <c r="FW53" s="21"/>
      <c r="FX53" s="21"/>
      <c r="FY53" s="21"/>
      <c r="FZ53" s="21"/>
      <c r="GA53" s="21"/>
      <c r="GB53" s="21"/>
      <c r="GC53" s="21"/>
      <c r="GD53" s="21"/>
      <c r="GE53" s="21"/>
      <c r="GF53" s="21"/>
      <c r="GG53" s="21"/>
      <c r="GH53" s="21"/>
      <c r="GI53" s="21"/>
      <c r="GJ53" s="21"/>
      <c r="GK53" s="21"/>
      <c r="GL53" s="21"/>
      <c r="GM53" s="21"/>
      <c r="GN53" s="21"/>
      <c r="GO53" s="21"/>
      <c r="GP53" s="21"/>
      <c r="GQ53" s="21"/>
      <c r="GR53" s="21"/>
      <c r="GS53" s="21"/>
      <c r="GT53" s="21"/>
      <c r="GU53" s="21"/>
      <c r="GV53" s="21"/>
      <c r="GW53" s="21"/>
      <c r="GX53" s="21"/>
      <c r="GY53" s="21"/>
      <c r="GZ53" s="21"/>
      <c r="HA53" s="21"/>
      <c r="HB53" s="21"/>
      <c r="HC53" s="21"/>
      <c r="HD53" s="21"/>
      <c r="HE53" s="21"/>
      <c r="HF53" s="21"/>
      <c r="HG53" s="21"/>
      <c r="HH53" s="21"/>
      <c r="HI53" s="21"/>
      <c r="HJ53" s="21"/>
      <c r="HK53" s="21"/>
      <c r="HL53" s="21"/>
      <c r="HM53" s="21"/>
      <c r="HN53" s="21"/>
      <c r="HO53" s="21"/>
      <c r="HP53" s="21"/>
      <c r="HQ53" s="21"/>
      <c r="HR53" s="21"/>
      <c r="HS53" s="21"/>
      <c r="HT53" s="21"/>
      <c r="HU53" s="21"/>
      <c r="HV53" s="21"/>
      <c r="HW53" s="21"/>
      <c r="HX53" s="21"/>
      <c r="HY53" s="21"/>
      <c r="HZ53" s="21"/>
      <c r="IA53" s="21"/>
      <c r="IB53" s="21"/>
      <c r="IC53" s="21"/>
      <c r="ID53" s="21"/>
      <c r="IE53" s="21"/>
      <c r="IF53" s="21"/>
      <c r="IG53" s="21"/>
      <c r="IH53" s="21"/>
      <c r="II53" s="21"/>
      <c r="IJ53" s="21"/>
      <c r="IK53" s="21"/>
      <c r="IL53" s="21"/>
      <c r="IM53" s="21"/>
      <c r="IN53" s="21"/>
      <c r="IO53" s="21"/>
      <c r="IP53" s="21"/>
      <c r="IQ53" s="21"/>
      <c r="IR53" s="21"/>
      <c r="IS53" s="21"/>
      <c r="IT53" s="21"/>
      <c r="IU53" s="21"/>
      <c r="IV53" s="21"/>
      <c r="IW53" s="21"/>
      <c r="IX53" s="21"/>
      <c r="IY53" s="21"/>
      <c r="IZ53" s="21"/>
      <c r="JA53" s="21"/>
      <c r="JB53" s="21"/>
      <c r="JC53" s="21"/>
      <c r="JD53" s="21"/>
      <c r="JE53" s="21"/>
      <c r="JF53" s="21"/>
      <c r="JG53" s="21"/>
      <c r="JH53" s="21"/>
      <c r="JI53" s="21"/>
      <c r="JJ53" s="21"/>
      <c r="JK53" s="21"/>
      <c r="JL53" s="21"/>
      <c r="JM53" s="21"/>
      <c r="JN53" s="21"/>
      <c r="JO53" s="21"/>
      <c r="JP53" s="21"/>
      <c r="JQ53" s="21"/>
      <c r="JR53" s="21"/>
      <c r="JS53" s="21"/>
      <c r="JT53" s="21"/>
      <c r="JU53" s="21"/>
      <c r="JV53" s="21"/>
      <c r="JW53" s="21"/>
      <c r="JX53" s="21"/>
      <c r="JY53" s="21"/>
      <c r="JZ53" s="21"/>
      <c r="KA53" s="21"/>
      <c r="KB53" s="21"/>
      <c r="KC53" s="21"/>
      <c r="KD53" s="21"/>
      <c r="KE53" s="21"/>
      <c r="KF53" s="21"/>
      <c r="KG53" s="21"/>
      <c r="KH53" s="21"/>
      <c r="KI53" s="21"/>
      <c r="KJ53" s="21"/>
      <c r="KK53" s="21"/>
      <c r="KL53" s="21"/>
      <c r="KM53" s="21"/>
      <c r="KN53" s="21"/>
      <c r="KO53" s="21"/>
      <c r="KP53" s="21"/>
      <c r="KQ53" s="21"/>
      <c r="KR53" s="21"/>
      <c r="KS53" s="21"/>
      <c r="KT53" s="21"/>
      <c r="KU53" s="21"/>
      <c r="KV53" s="21"/>
      <c r="KW53" s="21"/>
      <c r="KX53" s="21"/>
      <c r="KY53" s="21"/>
      <c r="KZ53" s="21"/>
      <c r="LA53" s="21"/>
      <c r="LB53" s="21"/>
      <c r="LC53" s="21"/>
      <c r="LD53" s="21"/>
      <c r="LE53" s="21"/>
      <c r="LF53" s="21"/>
      <c r="LG53" s="21"/>
      <c r="LH53" s="21"/>
      <c r="LI53" s="21"/>
      <c r="LJ53" s="21"/>
      <c r="LK53" s="21"/>
      <c r="LL53" s="21"/>
      <c r="LM53" s="21"/>
      <c r="LN53" s="21"/>
      <c r="LO53" s="21"/>
      <c r="LP53" s="21"/>
      <c r="LQ53" s="21"/>
      <c r="LR53" s="21"/>
      <c r="LS53" s="21"/>
      <c r="LT53" s="21"/>
      <c r="LU53" s="21"/>
      <c r="LV53" s="21"/>
      <c r="LW53" s="21"/>
      <c r="LX53" s="21"/>
      <c r="LY53" s="21"/>
      <c r="LZ53" s="21"/>
      <c r="MA53" s="21"/>
      <c r="MB53" s="21"/>
      <c r="MC53" s="21"/>
      <c r="MD53" s="21"/>
      <c r="ME53" s="21"/>
      <c r="MF53" s="21"/>
      <c r="MG53" s="21"/>
      <c r="MH53" s="21"/>
      <c r="MI53" s="21"/>
      <c r="MJ53" s="21"/>
      <c r="MK53" s="21"/>
      <c r="ML53" s="21"/>
      <c r="MM53" s="21"/>
      <c r="MN53" s="21"/>
      <c r="MO53" s="21"/>
      <c r="MP53" s="21"/>
      <c r="MQ53" s="21"/>
      <c r="MR53" s="21"/>
      <c r="MS53" s="21"/>
      <c r="MT53" s="21"/>
      <c r="MU53" s="21"/>
      <c r="MV53" s="21"/>
      <c r="MW53" s="21"/>
      <c r="MX53" s="21"/>
      <c r="MY53" s="21"/>
      <c r="MZ53" s="21"/>
      <c r="NA53" s="21"/>
      <c r="NB53" s="21"/>
      <c r="NC53" s="21"/>
      <c r="ND53" s="21"/>
      <c r="NE53" s="21"/>
      <c r="NF53" s="21"/>
      <c r="NG53" s="21"/>
      <c r="NH53" s="21"/>
      <c r="NI53" s="21"/>
      <c r="NJ53" s="21"/>
      <c r="NK53" s="21"/>
      <c r="NL53" s="21"/>
      <c r="NM53" s="21"/>
      <c r="NN53" s="21"/>
      <c r="NO53" s="21"/>
      <c r="NP53" s="21"/>
      <c r="NQ53" s="21"/>
      <c r="NR53" s="21"/>
      <c r="NS53" s="21"/>
      <c r="NT53" s="21"/>
      <c r="NU53" s="21"/>
      <c r="NV53" s="21"/>
      <c r="NW53" s="21"/>
      <c r="NX53" s="21"/>
      <c r="NY53" s="21"/>
      <c r="NZ53" s="21"/>
      <c r="OA53" s="21"/>
      <c r="OB53" s="21"/>
      <c r="OC53" s="21"/>
      <c r="OD53" s="21"/>
      <c r="OE53" s="21"/>
      <c r="OF53" s="21"/>
      <c r="OG53" s="21"/>
      <c r="OH53" s="21"/>
      <c r="OI53" s="21"/>
      <c r="OJ53" s="21"/>
      <c r="OK53" s="21"/>
      <c r="OL53" s="21"/>
      <c r="OM53" s="21"/>
      <c r="ON53" s="21"/>
      <c r="OO53" s="21"/>
      <c r="OP53" s="21"/>
      <c r="OQ53" s="21"/>
      <c r="OR53" s="21"/>
      <c r="OS53" s="21"/>
      <c r="OT53" s="21"/>
      <c r="OU53" s="21"/>
      <c r="OV53" s="21"/>
      <c r="OW53" s="21"/>
      <c r="OX53" s="21"/>
      <c r="OY53" s="21"/>
      <c r="OZ53" s="21"/>
      <c r="PA53" s="21"/>
      <c r="PB53" s="21"/>
      <c r="PC53" s="21"/>
      <c r="PD53" s="21"/>
      <c r="PE53" s="21"/>
      <c r="PF53" s="21"/>
      <c r="PG53" s="21"/>
      <c r="PH53" s="21"/>
      <c r="PI53" s="21"/>
      <c r="PJ53" s="21"/>
      <c r="PK53" s="21"/>
      <c r="PL53" s="21"/>
      <c r="PM53" s="21"/>
      <c r="PN53" s="21"/>
      <c r="PO53" s="21"/>
      <c r="PP53" s="21"/>
      <c r="PQ53" s="21"/>
      <c r="PR53" s="21"/>
      <c r="PS53" s="21"/>
      <c r="PT53" s="21"/>
      <c r="PU53" s="21"/>
      <c r="PV53" s="21"/>
      <c r="PW53" s="21"/>
      <c r="PX53" s="21"/>
      <c r="PY53" s="21"/>
      <c r="PZ53" s="21"/>
      <c r="QA53" s="21"/>
      <c r="QB53" s="21"/>
      <c r="QC53" s="21"/>
      <c r="QD53" s="21"/>
      <c r="QE53" s="21"/>
      <c r="QF53" s="21"/>
      <c r="QG53" s="21"/>
      <c r="QH53" s="21"/>
      <c r="QI53" s="21"/>
      <c r="QJ53" s="21"/>
      <c r="QK53" s="21"/>
      <c r="QL53" s="21"/>
      <c r="QM53" s="21"/>
      <c r="QN53" s="21"/>
      <c r="QO53" s="21"/>
      <c r="QP53" s="21"/>
      <c r="QQ53" s="21"/>
      <c r="QR53" s="21"/>
      <c r="QS53" s="21"/>
      <c r="QT53" s="21"/>
      <c r="QU53" s="21"/>
      <c r="QV53" s="21"/>
      <c r="QW53" s="21"/>
      <c r="QX53" s="21"/>
      <c r="QY53" s="21"/>
      <c r="QZ53" s="21"/>
      <c r="RA53" s="21"/>
      <c r="RB53" s="21"/>
      <c r="RC53" s="21"/>
      <c r="RD53" s="21"/>
      <c r="RE53" s="21"/>
      <c r="RF53" s="21"/>
      <c r="RG53" s="21"/>
      <c r="RH53" s="21"/>
      <c r="RI53" s="21"/>
      <c r="RJ53" s="21"/>
      <c r="RK53" s="21"/>
      <c r="RL53" s="21"/>
      <c r="RM53" s="21"/>
      <c r="RN53" s="21"/>
      <c r="RO53" s="21"/>
      <c r="RP53" s="21"/>
      <c r="RQ53" s="21"/>
      <c r="RR53" s="21"/>
      <c r="RS53" s="21"/>
      <c r="RT53" s="21"/>
      <c r="RU53" s="21"/>
      <c r="RV53" s="21"/>
      <c r="RW53" s="21"/>
      <c r="RX53" s="21"/>
      <c r="RY53" s="21"/>
      <c r="RZ53" s="21"/>
      <c r="SA53" s="21"/>
      <c r="SB53" s="21"/>
      <c r="SC53" s="21"/>
      <c r="SD53" s="21"/>
      <c r="SE53" s="21"/>
      <c r="SF53" s="21"/>
      <c r="SG53" s="21"/>
      <c r="SH53" s="21"/>
      <c r="SI53" s="21"/>
      <c r="SJ53" s="21"/>
      <c r="SK53" s="21"/>
      <c r="SL53" s="21"/>
      <c r="SM53" s="21"/>
      <c r="SN53" s="21"/>
      <c r="SO53" s="21"/>
      <c r="SP53" s="21"/>
      <c r="SQ53" s="21"/>
      <c r="SR53" s="21"/>
      <c r="SS53" s="21"/>
      <c r="ST53" s="21"/>
      <c r="SU53" s="21"/>
      <c r="SV53" s="21"/>
      <c r="SW53" s="21"/>
      <c r="SX53" s="21"/>
      <c r="SY53" s="21"/>
      <c r="SZ53" s="21"/>
      <c r="TA53" s="21"/>
      <c r="TB53" s="21"/>
      <c r="TC53" s="21"/>
      <c r="TD53" s="21"/>
      <c r="TE53" s="21"/>
      <c r="TF53" s="21"/>
      <c r="TG53" s="21"/>
      <c r="TH53" s="21"/>
      <c r="TI53" s="21"/>
      <c r="TJ53" s="21"/>
      <c r="TK53" s="21"/>
      <c r="TL53" s="21"/>
      <c r="TM53" s="21"/>
      <c r="TN53" s="21"/>
      <c r="TO53" s="21"/>
      <c r="TP53" s="21"/>
      <c r="TQ53" s="21"/>
      <c r="TR53" s="21"/>
      <c r="TS53" s="21"/>
      <c r="TT53" s="21"/>
      <c r="TU53" s="21"/>
      <c r="TV53" s="21"/>
      <c r="TW53" s="21"/>
      <c r="TX53" s="21"/>
      <c r="TY53" s="21"/>
      <c r="TZ53" s="21"/>
      <c r="UA53" s="21"/>
      <c r="UB53" s="21"/>
      <c r="UC53" s="21"/>
      <c r="UD53" s="21"/>
      <c r="UE53" s="21"/>
      <c r="UF53" s="21"/>
      <c r="UG53" s="21"/>
      <c r="UH53" s="21"/>
      <c r="UI53" s="21"/>
      <c r="UJ53" s="21"/>
      <c r="UK53" s="21"/>
      <c r="UL53" s="21"/>
      <c r="UM53" s="21"/>
      <c r="UN53" s="21"/>
      <c r="UO53" s="21"/>
      <c r="UP53" s="21"/>
      <c r="UQ53" s="21"/>
      <c r="UR53" s="21"/>
      <c r="US53" s="21"/>
      <c r="UT53" s="21"/>
      <c r="UU53" s="21"/>
      <c r="UV53" s="21"/>
      <c r="UW53" s="21"/>
      <c r="UX53" s="21"/>
      <c r="UY53" s="21"/>
      <c r="UZ53" s="21"/>
      <c r="VA53" s="21"/>
      <c r="VB53" s="21"/>
      <c r="VC53" s="21"/>
      <c r="VD53" s="21"/>
      <c r="VE53" s="21"/>
      <c r="VF53" s="21"/>
      <c r="VG53" s="21"/>
      <c r="VH53" s="21"/>
      <c r="VI53" s="21"/>
      <c r="VJ53" s="21"/>
      <c r="VK53" s="21"/>
      <c r="VL53" s="21"/>
      <c r="VM53" s="21"/>
      <c r="VN53" s="21"/>
      <c r="VO53" s="21"/>
      <c r="VP53" s="21"/>
      <c r="VQ53" s="21"/>
      <c r="VR53" s="21"/>
      <c r="VS53" s="21"/>
      <c r="VT53" s="21"/>
      <c r="VU53" s="21"/>
      <c r="VV53" s="21"/>
      <c r="VW53" s="21"/>
      <c r="VX53" s="21"/>
      <c r="VY53" s="21"/>
      <c r="VZ53" s="21"/>
      <c r="WA53" s="21"/>
      <c r="WB53" s="21"/>
      <c r="WC53" s="21"/>
      <c r="WD53" s="21"/>
      <c r="WE53" s="21"/>
      <c r="WF53" s="21"/>
      <c r="WG53" s="21"/>
      <c r="WH53" s="21"/>
      <c r="WI53" s="21"/>
      <c r="WJ53" s="21"/>
      <c r="WK53" s="21"/>
      <c r="WL53" s="21"/>
      <c r="WM53" s="21"/>
      <c r="WN53" s="21"/>
      <c r="WO53" s="21"/>
      <c r="WP53" s="21"/>
      <c r="WQ53" s="21"/>
      <c r="WR53" s="21"/>
      <c r="WS53" s="21"/>
      <c r="WT53" s="21"/>
      <c r="WU53" s="21"/>
      <c r="WV53" s="21"/>
      <c r="WW53" s="21"/>
      <c r="WX53" s="21"/>
      <c r="WY53" s="21"/>
      <c r="WZ53" s="21"/>
      <c r="XA53" s="21"/>
      <c r="XB53" s="21"/>
      <c r="XC53" s="21"/>
      <c r="XD53" s="21"/>
      <c r="XE53" s="21"/>
      <c r="XF53" s="21"/>
      <c r="XG53" s="21"/>
      <c r="XH53" s="21"/>
      <c r="XI53" s="21"/>
      <c r="XJ53" s="21"/>
      <c r="XK53" s="21"/>
      <c r="XL53" s="21"/>
      <c r="XM53" s="21"/>
      <c r="XN53" s="21"/>
      <c r="XO53" s="21"/>
      <c r="XP53" s="21"/>
      <c r="XQ53" s="21"/>
      <c r="XR53" s="21"/>
      <c r="XS53" s="21"/>
      <c r="XT53" s="21"/>
      <c r="XU53" s="21"/>
      <c r="XV53" s="21"/>
      <c r="XW53" s="21"/>
      <c r="XX53" s="21"/>
      <c r="XY53" s="21"/>
      <c r="XZ53" s="21"/>
      <c r="YA53" s="21"/>
      <c r="YB53" s="21"/>
      <c r="YC53" s="21"/>
      <c r="YD53" s="21"/>
      <c r="YE53" s="21"/>
      <c r="YF53" s="21"/>
      <c r="YG53" s="21"/>
      <c r="YH53" s="21"/>
      <c r="YI53" s="21"/>
      <c r="YJ53" s="21"/>
      <c r="YK53" s="21"/>
      <c r="YL53" s="21"/>
      <c r="YM53" s="21"/>
      <c r="YN53" s="21"/>
      <c r="YO53" s="21"/>
      <c r="YP53" s="21"/>
      <c r="YQ53" s="21"/>
      <c r="YR53" s="21"/>
      <c r="YS53" s="21"/>
      <c r="YT53" s="21"/>
      <c r="YU53" s="21"/>
      <c r="YV53" s="21"/>
      <c r="YW53" s="21"/>
      <c r="YX53" s="21"/>
      <c r="YY53" s="21"/>
      <c r="YZ53" s="21"/>
      <c r="ZA53" s="21"/>
      <c r="ZB53" s="21"/>
      <c r="ZC53" s="21"/>
      <c r="ZD53" s="21"/>
      <c r="ZE53" s="21"/>
      <c r="ZF53" s="21"/>
      <c r="ZG53" s="21"/>
      <c r="ZH53" s="21"/>
      <c r="ZI53" s="21"/>
      <c r="ZJ53" s="21"/>
      <c r="ZK53" s="21"/>
      <c r="ZL53" s="21"/>
      <c r="ZM53" s="21"/>
      <c r="ZN53" s="21"/>
      <c r="ZO53" s="21"/>
      <c r="ZP53" s="21"/>
      <c r="ZQ53" s="21"/>
      <c r="ZR53" s="21"/>
      <c r="ZS53" s="21"/>
      <c r="ZT53" s="21"/>
      <c r="ZU53" s="21"/>
      <c r="ZV53" s="21"/>
      <c r="ZW53" s="21"/>
      <c r="ZX53" s="21"/>
      <c r="ZY53" s="21"/>
      <c r="ZZ53" s="21"/>
      <c r="AAA53" s="21"/>
      <c r="AAB53" s="21"/>
      <c r="AAC53" s="21"/>
      <c r="AAD53" s="21"/>
      <c r="AAE53" s="21"/>
      <c r="AAF53" s="21"/>
    </row>
    <row r="54" spans="1:708" ht="105.75" customHeight="1" x14ac:dyDescent="0.25">
      <c r="A54" s="96" t="s">
        <v>43</v>
      </c>
      <c r="B54" s="96" t="s">
        <v>44</v>
      </c>
      <c r="C54" s="96" t="s">
        <v>45</v>
      </c>
      <c r="D54" s="96" t="s">
        <v>46</v>
      </c>
      <c r="E54" s="96" t="s">
        <v>71</v>
      </c>
      <c r="F54" s="96" t="s">
        <v>48</v>
      </c>
      <c r="G54" s="96" t="s">
        <v>49</v>
      </c>
      <c r="H54" s="96" t="s">
        <v>50</v>
      </c>
      <c r="I54" s="96" t="s">
        <v>51</v>
      </c>
      <c r="J54" s="67" t="s">
        <v>52</v>
      </c>
      <c r="K54" s="67" t="s">
        <v>266</v>
      </c>
      <c r="L54" s="67" t="s">
        <v>267</v>
      </c>
      <c r="M54" s="67" t="s">
        <v>268</v>
      </c>
      <c r="N54" s="67" t="s">
        <v>56</v>
      </c>
      <c r="O54" s="67"/>
      <c r="P54" s="67">
        <v>747</v>
      </c>
      <c r="Q54" s="495"/>
      <c r="R54" s="496"/>
      <c r="S54" s="496"/>
      <c r="T54" s="496"/>
      <c r="U54" s="497"/>
      <c r="V54" s="97">
        <v>1099836559</v>
      </c>
      <c r="W54" s="582">
        <v>64326892613</v>
      </c>
      <c r="X54" s="67" t="s">
        <v>269</v>
      </c>
      <c r="Y54" s="67">
        <v>12</v>
      </c>
      <c r="Z54" s="67">
        <f>+P54</f>
        <v>747</v>
      </c>
      <c r="AA54" s="68">
        <f>+Y54/Z54</f>
        <v>1.6064257028112448E-2</v>
      </c>
      <c r="AB54" s="66" t="s">
        <v>270</v>
      </c>
      <c r="AC54" s="495"/>
      <c r="AD54" s="496"/>
      <c r="AE54" s="496"/>
      <c r="AF54" s="497"/>
      <c r="AG54" s="69">
        <v>38</v>
      </c>
      <c r="AH54" s="69">
        <v>747</v>
      </c>
      <c r="AI54" s="70">
        <v>5.0870147255689425E-2</v>
      </c>
      <c r="AJ54" s="98" t="s">
        <v>271</v>
      </c>
      <c r="AK54" s="588"/>
      <c r="AL54" s="589"/>
      <c r="AM54" s="589"/>
      <c r="AN54" s="590"/>
      <c r="AO54" s="69">
        <f>+'[12]COMP1%'!C9</f>
        <v>38</v>
      </c>
      <c r="AP54" s="69">
        <f>+P54</f>
        <v>747</v>
      </c>
      <c r="AQ54" s="70">
        <f>+AO54/AP54</f>
        <v>5.0870147255689425E-2</v>
      </c>
      <c r="AR54" s="98" t="s">
        <v>272</v>
      </c>
      <c r="AS54" s="495"/>
      <c r="AT54" s="496"/>
      <c r="AU54" s="496"/>
      <c r="AV54" s="497"/>
    </row>
    <row r="55" spans="1:708" ht="90" customHeight="1" x14ac:dyDescent="0.25">
      <c r="A55" s="99" t="s">
        <v>43</v>
      </c>
      <c r="B55" s="99" t="s">
        <v>44</v>
      </c>
      <c r="C55" s="99" t="s">
        <v>45</v>
      </c>
      <c r="D55" s="99" t="s">
        <v>46</v>
      </c>
      <c r="E55" s="99" t="s">
        <v>71</v>
      </c>
      <c r="F55" s="99" t="s">
        <v>48</v>
      </c>
      <c r="G55" s="99" t="s">
        <v>49</v>
      </c>
      <c r="H55" s="99" t="s">
        <v>50</v>
      </c>
      <c r="I55" s="100" t="s">
        <v>51</v>
      </c>
      <c r="J55" s="74" t="s">
        <v>52</v>
      </c>
      <c r="K55" s="74" t="s">
        <v>266</v>
      </c>
      <c r="L55" s="74" t="s">
        <v>273</v>
      </c>
      <c r="M55" s="74" t="s">
        <v>274</v>
      </c>
      <c r="N55" s="74" t="s">
        <v>74</v>
      </c>
      <c r="O55" s="74"/>
      <c r="P55" s="76">
        <v>1</v>
      </c>
      <c r="Q55" s="495"/>
      <c r="R55" s="496"/>
      <c r="S55" s="496"/>
      <c r="T55" s="496"/>
      <c r="U55" s="497"/>
      <c r="V55" s="101">
        <v>238035717</v>
      </c>
      <c r="W55" s="582"/>
      <c r="X55" s="74" t="s">
        <v>269</v>
      </c>
      <c r="Y55" s="102">
        <f>(370/3150)</f>
        <v>0.11746031746031746</v>
      </c>
      <c r="Z55" s="85">
        <f>+P55</f>
        <v>1</v>
      </c>
      <c r="AA55" s="76">
        <f>+Y55/Z55</f>
        <v>0.11746031746031746</v>
      </c>
      <c r="AB55" s="73" t="s">
        <v>275</v>
      </c>
      <c r="AC55" s="495"/>
      <c r="AD55" s="496"/>
      <c r="AE55" s="496"/>
      <c r="AF55" s="497"/>
      <c r="AG55" s="78">
        <v>0.13859682539682538</v>
      </c>
      <c r="AH55" s="86">
        <v>1</v>
      </c>
      <c r="AI55" s="78">
        <v>0.13859682539682538</v>
      </c>
      <c r="AJ55" s="103" t="s">
        <v>276</v>
      </c>
      <c r="AK55" s="588"/>
      <c r="AL55" s="589"/>
      <c r="AM55" s="589"/>
      <c r="AN55" s="590"/>
      <c r="AO55" s="78">
        <f>(537.58/3150)</f>
        <v>0.17066031746031748</v>
      </c>
      <c r="AP55" s="86">
        <f>+P55</f>
        <v>1</v>
      </c>
      <c r="AQ55" s="78">
        <f>+AO55/AP55</f>
        <v>0.17066031746031748</v>
      </c>
      <c r="AR55" s="103" t="s">
        <v>277</v>
      </c>
      <c r="AS55" s="495"/>
      <c r="AT55" s="496"/>
      <c r="AU55" s="496"/>
      <c r="AV55" s="497"/>
    </row>
    <row r="56" spans="1:708" ht="72.75" customHeight="1" x14ac:dyDescent="0.25">
      <c r="A56" s="96" t="s">
        <v>43</v>
      </c>
      <c r="B56" s="96" t="s">
        <v>44</v>
      </c>
      <c r="C56" s="96" t="s">
        <v>45</v>
      </c>
      <c r="D56" s="96" t="s">
        <v>46</v>
      </c>
      <c r="E56" s="96" t="s">
        <v>71</v>
      </c>
      <c r="F56" s="96" t="s">
        <v>48</v>
      </c>
      <c r="G56" s="96" t="s">
        <v>49</v>
      </c>
      <c r="H56" s="96" t="s">
        <v>50</v>
      </c>
      <c r="I56" s="96" t="s">
        <v>51</v>
      </c>
      <c r="J56" s="67" t="s">
        <v>52</v>
      </c>
      <c r="K56" s="67" t="s">
        <v>266</v>
      </c>
      <c r="L56" s="67" t="s">
        <v>278</v>
      </c>
      <c r="M56" s="67" t="s">
        <v>279</v>
      </c>
      <c r="N56" s="67" t="s">
        <v>56</v>
      </c>
      <c r="O56" s="67"/>
      <c r="P56" s="67">
        <v>171</v>
      </c>
      <c r="Q56" s="495"/>
      <c r="R56" s="496"/>
      <c r="S56" s="496"/>
      <c r="T56" s="496"/>
      <c r="U56" s="497"/>
      <c r="V56" s="97">
        <v>549436752</v>
      </c>
      <c r="W56" s="582"/>
      <c r="X56" s="67" t="s">
        <v>269</v>
      </c>
      <c r="Y56" s="67">
        <v>0</v>
      </c>
      <c r="Z56" s="67">
        <f>+P56</f>
        <v>171</v>
      </c>
      <c r="AA56" s="68">
        <f>+Y56/Z56</f>
        <v>0</v>
      </c>
      <c r="AB56" s="66" t="s">
        <v>280</v>
      </c>
      <c r="AC56" s="495"/>
      <c r="AD56" s="496"/>
      <c r="AE56" s="496"/>
      <c r="AF56" s="497"/>
      <c r="AG56" s="69">
        <v>1</v>
      </c>
      <c r="AH56" s="69">
        <v>171</v>
      </c>
      <c r="AI56" s="70">
        <v>5.8479532163742687E-3</v>
      </c>
      <c r="AJ56" s="98" t="s">
        <v>281</v>
      </c>
      <c r="AK56" s="588"/>
      <c r="AL56" s="589"/>
      <c r="AM56" s="589"/>
      <c r="AN56" s="590"/>
      <c r="AO56" s="69">
        <v>4</v>
      </c>
      <c r="AP56" s="69">
        <f>+P56</f>
        <v>171</v>
      </c>
      <c r="AQ56" s="70">
        <f>+AO56/AP56</f>
        <v>2.3391812865497075E-2</v>
      </c>
      <c r="AR56" s="98" t="s">
        <v>282</v>
      </c>
      <c r="AS56" s="495"/>
      <c r="AT56" s="496"/>
      <c r="AU56" s="496"/>
      <c r="AV56" s="497"/>
    </row>
    <row r="57" spans="1:708" s="22" customFormat="1" ht="70.5" customHeight="1" x14ac:dyDescent="0.25">
      <c r="A57" s="55"/>
      <c r="B57" s="55"/>
      <c r="C57" s="55"/>
      <c r="D57" s="55"/>
      <c r="E57" s="55"/>
      <c r="F57" s="55"/>
      <c r="G57" s="55"/>
      <c r="H57" s="55"/>
      <c r="I57" s="55"/>
      <c r="J57" s="55"/>
      <c r="K57" s="55"/>
      <c r="L57" s="55"/>
      <c r="M57" s="55"/>
      <c r="N57" s="55"/>
      <c r="O57" s="55"/>
      <c r="P57" s="56"/>
      <c r="Q57" s="55"/>
      <c r="R57" s="55"/>
      <c r="S57" s="56"/>
      <c r="T57" s="55"/>
      <c r="U57" s="55"/>
      <c r="V57" s="95"/>
      <c r="W57" s="95"/>
      <c r="X57" s="55"/>
      <c r="Y57" s="557" t="s">
        <v>99</v>
      </c>
      <c r="Z57" s="557"/>
      <c r="AA57" s="60">
        <f>AVERAGE(AA54:AA56)</f>
        <v>4.4508191496143303E-2</v>
      </c>
      <c r="AB57" s="104"/>
      <c r="AC57" s="557" t="s">
        <v>100</v>
      </c>
      <c r="AD57" s="557"/>
      <c r="AE57" s="60" t="s">
        <v>283</v>
      </c>
      <c r="AF57" s="61"/>
      <c r="AG57" s="565" t="s">
        <v>99</v>
      </c>
      <c r="AH57" s="565"/>
      <c r="AI57" s="64">
        <v>6.5104975289629691E-2</v>
      </c>
      <c r="AJ57" s="105"/>
      <c r="AK57" s="565" t="s">
        <v>100</v>
      </c>
      <c r="AL57" s="565"/>
      <c r="AM57" s="64" t="s">
        <v>283</v>
      </c>
      <c r="AN57" s="65"/>
      <c r="AO57" s="557" t="s">
        <v>99</v>
      </c>
      <c r="AP57" s="557"/>
      <c r="AQ57" s="60">
        <f>AVERAGE(AQ54:AQ56)</f>
        <v>8.1640759193834664E-2</v>
      </c>
      <c r="AR57" s="104"/>
      <c r="AS57" s="557" t="s">
        <v>100</v>
      </c>
      <c r="AT57" s="557"/>
      <c r="AU57" s="60" t="s">
        <v>283</v>
      </c>
      <c r="AV57" s="6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c r="DB57" s="21"/>
      <c r="DC57" s="21"/>
      <c r="DD57" s="21"/>
      <c r="DE57" s="21"/>
      <c r="DF57" s="21"/>
      <c r="DG57" s="21"/>
      <c r="DH57" s="21"/>
      <c r="DI57" s="21"/>
      <c r="DJ57" s="21"/>
      <c r="DK57" s="21"/>
      <c r="DL57" s="21"/>
      <c r="DM57" s="21"/>
      <c r="DN57" s="21"/>
      <c r="DO57" s="21"/>
      <c r="DP57" s="21"/>
      <c r="DQ57" s="21"/>
      <c r="DR57" s="21"/>
      <c r="DS57" s="21"/>
      <c r="DT57" s="21"/>
      <c r="DU57" s="21"/>
      <c r="DV57" s="21"/>
      <c r="DW57" s="21"/>
      <c r="DX57" s="21"/>
      <c r="DY57" s="21"/>
      <c r="DZ57" s="21"/>
      <c r="EA57" s="21"/>
      <c r="EB57" s="21"/>
      <c r="EC57" s="21"/>
      <c r="ED57" s="21"/>
      <c r="EE57" s="21"/>
      <c r="EF57" s="21"/>
      <c r="EG57" s="21"/>
      <c r="EH57" s="21"/>
      <c r="EI57" s="21"/>
      <c r="EJ57" s="21"/>
      <c r="EK57" s="21"/>
      <c r="EL57" s="21"/>
      <c r="EM57" s="21"/>
      <c r="EN57" s="21"/>
      <c r="EO57" s="21"/>
      <c r="EP57" s="21"/>
      <c r="EQ57" s="21"/>
      <c r="ER57" s="21"/>
      <c r="ES57" s="21"/>
      <c r="ET57" s="21"/>
      <c r="EU57" s="21"/>
      <c r="EV57" s="21"/>
      <c r="EW57" s="21"/>
      <c r="EX57" s="21"/>
      <c r="EY57" s="21"/>
      <c r="EZ57" s="21"/>
      <c r="FA57" s="21"/>
      <c r="FB57" s="21"/>
      <c r="FC57" s="21"/>
      <c r="FD57" s="21"/>
      <c r="FE57" s="21"/>
      <c r="FF57" s="21"/>
      <c r="FG57" s="21"/>
      <c r="FH57" s="21"/>
      <c r="FI57" s="21"/>
      <c r="FJ57" s="21"/>
      <c r="FK57" s="21"/>
      <c r="FL57" s="21"/>
      <c r="FM57" s="21"/>
      <c r="FN57" s="21"/>
      <c r="FO57" s="21"/>
      <c r="FP57" s="21"/>
      <c r="FQ57" s="21"/>
      <c r="FR57" s="21"/>
      <c r="FS57" s="21"/>
      <c r="FT57" s="21"/>
      <c r="FU57" s="21"/>
      <c r="FV57" s="21"/>
      <c r="FW57" s="21"/>
      <c r="FX57" s="21"/>
      <c r="FY57" s="21"/>
      <c r="FZ57" s="21"/>
      <c r="GA57" s="21"/>
      <c r="GB57" s="21"/>
      <c r="GC57" s="21"/>
      <c r="GD57" s="21"/>
      <c r="GE57" s="21"/>
      <c r="GF57" s="21"/>
      <c r="GG57" s="21"/>
      <c r="GH57" s="21"/>
      <c r="GI57" s="21"/>
      <c r="GJ57" s="21"/>
      <c r="GK57" s="21"/>
      <c r="GL57" s="21"/>
      <c r="GM57" s="21"/>
      <c r="GN57" s="21"/>
      <c r="GO57" s="21"/>
      <c r="GP57" s="21"/>
      <c r="GQ57" s="21"/>
      <c r="GR57" s="21"/>
      <c r="GS57" s="21"/>
      <c r="GT57" s="21"/>
      <c r="GU57" s="21"/>
      <c r="GV57" s="21"/>
      <c r="GW57" s="21"/>
      <c r="GX57" s="21"/>
      <c r="GY57" s="21"/>
      <c r="GZ57" s="21"/>
      <c r="HA57" s="21"/>
      <c r="HB57" s="21"/>
      <c r="HC57" s="21"/>
      <c r="HD57" s="21"/>
      <c r="HE57" s="21"/>
      <c r="HF57" s="21"/>
      <c r="HG57" s="21"/>
      <c r="HH57" s="21"/>
      <c r="HI57" s="21"/>
      <c r="HJ57" s="21"/>
      <c r="HK57" s="21"/>
      <c r="HL57" s="21"/>
      <c r="HM57" s="21"/>
      <c r="HN57" s="21"/>
      <c r="HO57" s="21"/>
      <c r="HP57" s="21"/>
      <c r="HQ57" s="21"/>
      <c r="HR57" s="21"/>
      <c r="HS57" s="21"/>
      <c r="HT57" s="21"/>
      <c r="HU57" s="21"/>
      <c r="HV57" s="21"/>
      <c r="HW57" s="21"/>
      <c r="HX57" s="21"/>
      <c r="HY57" s="21"/>
      <c r="HZ57" s="21"/>
      <c r="IA57" s="21"/>
      <c r="IB57" s="21"/>
      <c r="IC57" s="21"/>
      <c r="ID57" s="21"/>
      <c r="IE57" s="21"/>
      <c r="IF57" s="21"/>
      <c r="IG57" s="21"/>
      <c r="IH57" s="21"/>
      <c r="II57" s="21"/>
      <c r="IJ57" s="21"/>
      <c r="IK57" s="21"/>
      <c r="IL57" s="21"/>
      <c r="IM57" s="21"/>
      <c r="IN57" s="21"/>
      <c r="IO57" s="21"/>
      <c r="IP57" s="21"/>
      <c r="IQ57" s="21"/>
      <c r="IR57" s="21"/>
      <c r="IS57" s="21"/>
      <c r="IT57" s="21"/>
      <c r="IU57" s="21"/>
      <c r="IV57" s="21"/>
      <c r="IW57" s="21"/>
      <c r="IX57" s="21"/>
      <c r="IY57" s="21"/>
      <c r="IZ57" s="21"/>
      <c r="JA57" s="21"/>
      <c r="JB57" s="21"/>
      <c r="JC57" s="21"/>
      <c r="JD57" s="21"/>
      <c r="JE57" s="21"/>
      <c r="JF57" s="21"/>
      <c r="JG57" s="21"/>
      <c r="JH57" s="21"/>
      <c r="JI57" s="21"/>
      <c r="JJ57" s="21"/>
      <c r="JK57" s="21"/>
      <c r="JL57" s="21"/>
      <c r="JM57" s="21"/>
      <c r="JN57" s="21"/>
      <c r="JO57" s="21"/>
      <c r="JP57" s="21"/>
      <c r="JQ57" s="21"/>
      <c r="JR57" s="21"/>
      <c r="JS57" s="21"/>
      <c r="JT57" s="21"/>
      <c r="JU57" s="21"/>
      <c r="JV57" s="21"/>
      <c r="JW57" s="21"/>
      <c r="JX57" s="21"/>
      <c r="JY57" s="21"/>
      <c r="JZ57" s="21"/>
      <c r="KA57" s="21"/>
      <c r="KB57" s="21"/>
      <c r="KC57" s="21"/>
      <c r="KD57" s="21"/>
      <c r="KE57" s="21"/>
      <c r="KF57" s="21"/>
      <c r="KG57" s="21"/>
      <c r="KH57" s="21"/>
      <c r="KI57" s="21"/>
      <c r="KJ57" s="21"/>
      <c r="KK57" s="21"/>
      <c r="KL57" s="21"/>
      <c r="KM57" s="21"/>
      <c r="KN57" s="21"/>
      <c r="KO57" s="21"/>
      <c r="KP57" s="21"/>
      <c r="KQ57" s="21"/>
      <c r="KR57" s="21"/>
      <c r="KS57" s="21"/>
      <c r="KT57" s="21"/>
      <c r="KU57" s="21"/>
      <c r="KV57" s="21"/>
      <c r="KW57" s="21"/>
      <c r="KX57" s="21"/>
      <c r="KY57" s="21"/>
      <c r="KZ57" s="21"/>
      <c r="LA57" s="21"/>
      <c r="LB57" s="21"/>
      <c r="LC57" s="21"/>
      <c r="LD57" s="21"/>
      <c r="LE57" s="21"/>
      <c r="LF57" s="21"/>
      <c r="LG57" s="21"/>
      <c r="LH57" s="21"/>
      <c r="LI57" s="21"/>
      <c r="LJ57" s="21"/>
      <c r="LK57" s="21"/>
      <c r="LL57" s="21"/>
      <c r="LM57" s="21"/>
      <c r="LN57" s="21"/>
      <c r="LO57" s="21"/>
      <c r="LP57" s="21"/>
      <c r="LQ57" s="21"/>
      <c r="LR57" s="21"/>
      <c r="LS57" s="21"/>
      <c r="LT57" s="21"/>
      <c r="LU57" s="21"/>
      <c r="LV57" s="21"/>
      <c r="LW57" s="21"/>
      <c r="LX57" s="21"/>
      <c r="LY57" s="21"/>
      <c r="LZ57" s="21"/>
      <c r="MA57" s="21"/>
      <c r="MB57" s="21"/>
      <c r="MC57" s="21"/>
      <c r="MD57" s="21"/>
      <c r="ME57" s="21"/>
      <c r="MF57" s="21"/>
      <c r="MG57" s="21"/>
      <c r="MH57" s="21"/>
      <c r="MI57" s="21"/>
      <c r="MJ57" s="21"/>
      <c r="MK57" s="21"/>
      <c r="ML57" s="21"/>
      <c r="MM57" s="21"/>
      <c r="MN57" s="21"/>
      <c r="MO57" s="21"/>
      <c r="MP57" s="21"/>
      <c r="MQ57" s="21"/>
      <c r="MR57" s="21"/>
      <c r="MS57" s="21"/>
      <c r="MT57" s="21"/>
      <c r="MU57" s="21"/>
      <c r="MV57" s="21"/>
      <c r="MW57" s="21"/>
      <c r="MX57" s="21"/>
      <c r="MY57" s="21"/>
      <c r="MZ57" s="21"/>
      <c r="NA57" s="21"/>
      <c r="NB57" s="21"/>
      <c r="NC57" s="21"/>
      <c r="ND57" s="21"/>
      <c r="NE57" s="21"/>
      <c r="NF57" s="21"/>
      <c r="NG57" s="21"/>
      <c r="NH57" s="21"/>
      <c r="NI57" s="21"/>
      <c r="NJ57" s="21"/>
      <c r="NK57" s="21"/>
      <c r="NL57" s="21"/>
      <c r="NM57" s="21"/>
      <c r="NN57" s="21"/>
      <c r="NO57" s="21"/>
      <c r="NP57" s="21"/>
      <c r="NQ57" s="21"/>
      <c r="NR57" s="21"/>
      <c r="NS57" s="21"/>
      <c r="NT57" s="21"/>
      <c r="NU57" s="21"/>
      <c r="NV57" s="21"/>
      <c r="NW57" s="21"/>
      <c r="NX57" s="21"/>
      <c r="NY57" s="21"/>
      <c r="NZ57" s="21"/>
      <c r="OA57" s="21"/>
      <c r="OB57" s="21"/>
      <c r="OC57" s="21"/>
      <c r="OD57" s="21"/>
      <c r="OE57" s="21"/>
      <c r="OF57" s="21"/>
      <c r="OG57" s="21"/>
      <c r="OH57" s="21"/>
      <c r="OI57" s="21"/>
      <c r="OJ57" s="21"/>
      <c r="OK57" s="21"/>
      <c r="OL57" s="21"/>
      <c r="OM57" s="21"/>
      <c r="ON57" s="21"/>
      <c r="OO57" s="21"/>
      <c r="OP57" s="21"/>
      <c r="OQ57" s="21"/>
      <c r="OR57" s="21"/>
      <c r="OS57" s="21"/>
      <c r="OT57" s="21"/>
      <c r="OU57" s="21"/>
      <c r="OV57" s="21"/>
      <c r="OW57" s="21"/>
      <c r="OX57" s="21"/>
      <c r="OY57" s="21"/>
      <c r="OZ57" s="21"/>
      <c r="PA57" s="21"/>
      <c r="PB57" s="21"/>
      <c r="PC57" s="21"/>
      <c r="PD57" s="21"/>
      <c r="PE57" s="21"/>
      <c r="PF57" s="21"/>
      <c r="PG57" s="21"/>
      <c r="PH57" s="21"/>
      <c r="PI57" s="21"/>
      <c r="PJ57" s="21"/>
      <c r="PK57" s="21"/>
      <c r="PL57" s="21"/>
      <c r="PM57" s="21"/>
      <c r="PN57" s="21"/>
      <c r="PO57" s="21"/>
      <c r="PP57" s="21"/>
      <c r="PQ57" s="21"/>
      <c r="PR57" s="21"/>
      <c r="PS57" s="21"/>
      <c r="PT57" s="21"/>
      <c r="PU57" s="21"/>
      <c r="PV57" s="21"/>
      <c r="PW57" s="21"/>
      <c r="PX57" s="21"/>
      <c r="PY57" s="21"/>
      <c r="PZ57" s="21"/>
      <c r="QA57" s="21"/>
      <c r="QB57" s="21"/>
      <c r="QC57" s="21"/>
      <c r="QD57" s="21"/>
      <c r="QE57" s="21"/>
      <c r="QF57" s="21"/>
      <c r="QG57" s="21"/>
      <c r="QH57" s="21"/>
      <c r="QI57" s="21"/>
      <c r="QJ57" s="21"/>
      <c r="QK57" s="21"/>
      <c r="QL57" s="21"/>
      <c r="QM57" s="21"/>
      <c r="QN57" s="21"/>
      <c r="QO57" s="21"/>
      <c r="QP57" s="21"/>
      <c r="QQ57" s="21"/>
      <c r="QR57" s="21"/>
      <c r="QS57" s="21"/>
      <c r="QT57" s="21"/>
      <c r="QU57" s="21"/>
      <c r="QV57" s="21"/>
      <c r="QW57" s="21"/>
      <c r="QX57" s="21"/>
      <c r="QY57" s="21"/>
      <c r="QZ57" s="21"/>
      <c r="RA57" s="21"/>
      <c r="RB57" s="21"/>
      <c r="RC57" s="21"/>
      <c r="RD57" s="21"/>
      <c r="RE57" s="21"/>
      <c r="RF57" s="21"/>
      <c r="RG57" s="21"/>
      <c r="RH57" s="21"/>
      <c r="RI57" s="21"/>
      <c r="RJ57" s="21"/>
      <c r="RK57" s="21"/>
      <c r="RL57" s="21"/>
      <c r="RM57" s="21"/>
      <c r="RN57" s="21"/>
      <c r="RO57" s="21"/>
      <c r="RP57" s="21"/>
      <c r="RQ57" s="21"/>
      <c r="RR57" s="21"/>
      <c r="RS57" s="21"/>
      <c r="RT57" s="21"/>
      <c r="RU57" s="21"/>
      <c r="RV57" s="21"/>
      <c r="RW57" s="21"/>
      <c r="RX57" s="21"/>
      <c r="RY57" s="21"/>
      <c r="RZ57" s="21"/>
      <c r="SA57" s="21"/>
      <c r="SB57" s="21"/>
      <c r="SC57" s="21"/>
      <c r="SD57" s="21"/>
      <c r="SE57" s="21"/>
      <c r="SF57" s="21"/>
      <c r="SG57" s="21"/>
      <c r="SH57" s="21"/>
      <c r="SI57" s="21"/>
      <c r="SJ57" s="21"/>
      <c r="SK57" s="21"/>
      <c r="SL57" s="21"/>
      <c r="SM57" s="21"/>
      <c r="SN57" s="21"/>
      <c r="SO57" s="21"/>
      <c r="SP57" s="21"/>
      <c r="SQ57" s="21"/>
      <c r="SR57" s="21"/>
      <c r="SS57" s="21"/>
      <c r="ST57" s="21"/>
      <c r="SU57" s="21"/>
      <c r="SV57" s="21"/>
      <c r="SW57" s="21"/>
      <c r="SX57" s="21"/>
      <c r="SY57" s="21"/>
      <c r="SZ57" s="21"/>
      <c r="TA57" s="21"/>
      <c r="TB57" s="21"/>
      <c r="TC57" s="21"/>
      <c r="TD57" s="21"/>
      <c r="TE57" s="21"/>
      <c r="TF57" s="21"/>
      <c r="TG57" s="21"/>
      <c r="TH57" s="21"/>
      <c r="TI57" s="21"/>
      <c r="TJ57" s="21"/>
      <c r="TK57" s="21"/>
      <c r="TL57" s="21"/>
      <c r="TM57" s="21"/>
      <c r="TN57" s="21"/>
      <c r="TO57" s="21"/>
      <c r="TP57" s="21"/>
      <c r="TQ57" s="21"/>
      <c r="TR57" s="21"/>
      <c r="TS57" s="21"/>
      <c r="TT57" s="21"/>
      <c r="TU57" s="21"/>
      <c r="TV57" s="21"/>
      <c r="TW57" s="21"/>
      <c r="TX57" s="21"/>
      <c r="TY57" s="21"/>
      <c r="TZ57" s="21"/>
      <c r="UA57" s="21"/>
      <c r="UB57" s="21"/>
      <c r="UC57" s="21"/>
      <c r="UD57" s="21"/>
      <c r="UE57" s="21"/>
      <c r="UF57" s="21"/>
      <c r="UG57" s="21"/>
      <c r="UH57" s="21"/>
      <c r="UI57" s="21"/>
      <c r="UJ57" s="21"/>
      <c r="UK57" s="21"/>
      <c r="UL57" s="21"/>
      <c r="UM57" s="21"/>
      <c r="UN57" s="21"/>
      <c r="UO57" s="21"/>
      <c r="UP57" s="21"/>
      <c r="UQ57" s="21"/>
      <c r="UR57" s="21"/>
      <c r="US57" s="21"/>
      <c r="UT57" s="21"/>
      <c r="UU57" s="21"/>
      <c r="UV57" s="21"/>
      <c r="UW57" s="21"/>
      <c r="UX57" s="21"/>
      <c r="UY57" s="21"/>
      <c r="UZ57" s="21"/>
      <c r="VA57" s="21"/>
      <c r="VB57" s="21"/>
      <c r="VC57" s="21"/>
      <c r="VD57" s="21"/>
      <c r="VE57" s="21"/>
      <c r="VF57" s="21"/>
      <c r="VG57" s="21"/>
      <c r="VH57" s="21"/>
      <c r="VI57" s="21"/>
      <c r="VJ57" s="21"/>
      <c r="VK57" s="21"/>
      <c r="VL57" s="21"/>
      <c r="VM57" s="21"/>
      <c r="VN57" s="21"/>
      <c r="VO57" s="21"/>
      <c r="VP57" s="21"/>
      <c r="VQ57" s="21"/>
      <c r="VR57" s="21"/>
      <c r="VS57" s="21"/>
      <c r="VT57" s="21"/>
      <c r="VU57" s="21"/>
      <c r="VV57" s="21"/>
      <c r="VW57" s="21"/>
      <c r="VX57" s="21"/>
      <c r="VY57" s="21"/>
      <c r="VZ57" s="21"/>
      <c r="WA57" s="21"/>
      <c r="WB57" s="21"/>
      <c r="WC57" s="21"/>
      <c r="WD57" s="21"/>
      <c r="WE57" s="21"/>
      <c r="WF57" s="21"/>
      <c r="WG57" s="21"/>
      <c r="WH57" s="21"/>
      <c r="WI57" s="21"/>
      <c r="WJ57" s="21"/>
      <c r="WK57" s="21"/>
      <c r="WL57" s="21"/>
      <c r="WM57" s="21"/>
      <c r="WN57" s="21"/>
      <c r="WO57" s="21"/>
      <c r="WP57" s="21"/>
      <c r="WQ57" s="21"/>
      <c r="WR57" s="21"/>
      <c r="WS57" s="21"/>
      <c r="WT57" s="21"/>
      <c r="WU57" s="21"/>
      <c r="WV57" s="21"/>
      <c r="WW57" s="21"/>
      <c r="WX57" s="21"/>
      <c r="WY57" s="21"/>
      <c r="WZ57" s="21"/>
      <c r="XA57" s="21"/>
      <c r="XB57" s="21"/>
      <c r="XC57" s="21"/>
      <c r="XD57" s="21"/>
      <c r="XE57" s="21"/>
      <c r="XF57" s="21"/>
      <c r="XG57" s="21"/>
      <c r="XH57" s="21"/>
      <c r="XI57" s="21"/>
      <c r="XJ57" s="21"/>
      <c r="XK57" s="21"/>
      <c r="XL57" s="21"/>
      <c r="XM57" s="21"/>
      <c r="XN57" s="21"/>
      <c r="XO57" s="21"/>
      <c r="XP57" s="21"/>
      <c r="XQ57" s="21"/>
      <c r="XR57" s="21"/>
      <c r="XS57" s="21"/>
      <c r="XT57" s="21"/>
      <c r="XU57" s="21"/>
      <c r="XV57" s="21"/>
      <c r="XW57" s="21"/>
      <c r="XX57" s="21"/>
      <c r="XY57" s="21"/>
      <c r="XZ57" s="21"/>
      <c r="YA57" s="21"/>
      <c r="YB57" s="21"/>
      <c r="YC57" s="21"/>
      <c r="YD57" s="21"/>
      <c r="YE57" s="21"/>
      <c r="YF57" s="21"/>
      <c r="YG57" s="21"/>
      <c r="YH57" s="21"/>
      <c r="YI57" s="21"/>
      <c r="YJ57" s="21"/>
      <c r="YK57" s="21"/>
      <c r="YL57" s="21"/>
      <c r="YM57" s="21"/>
      <c r="YN57" s="21"/>
      <c r="YO57" s="21"/>
      <c r="YP57" s="21"/>
      <c r="YQ57" s="21"/>
      <c r="YR57" s="21"/>
      <c r="YS57" s="21"/>
      <c r="YT57" s="21"/>
      <c r="YU57" s="21"/>
      <c r="YV57" s="21"/>
      <c r="YW57" s="21"/>
      <c r="YX57" s="21"/>
      <c r="YY57" s="21"/>
      <c r="YZ57" s="21"/>
      <c r="ZA57" s="21"/>
      <c r="ZB57" s="21"/>
      <c r="ZC57" s="21"/>
      <c r="ZD57" s="21"/>
      <c r="ZE57" s="21"/>
      <c r="ZF57" s="21"/>
      <c r="ZG57" s="21"/>
      <c r="ZH57" s="21"/>
      <c r="ZI57" s="21"/>
      <c r="ZJ57" s="21"/>
      <c r="ZK57" s="21"/>
      <c r="ZL57" s="21"/>
      <c r="ZM57" s="21"/>
      <c r="ZN57" s="21"/>
      <c r="ZO57" s="21"/>
      <c r="ZP57" s="21"/>
      <c r="ZQ57" s="21"/>
      <c r="ZR57" s="21"/>
      <c r="ZS57" s="21"/>
      <c r="ZT57" s="21"/>
      <c r="ZU57" s="21"/>
      <c r="ZV57" s="21"/>
      <c r="ZW57" s="21"/>
      <c r="ZX57" s="21"/>
      <c r="ZY57" s="21"/>
      <c r="ZZ57" s="21"/>
      <c r="AAA57" s="21"/>
      <c r="AAB57" s="21"/>
      <c r="AAC57" s="21"/>
      <c r="AAD57" s="21"/>
      <c r="AAE57" s="21"/>
      <c r="AAF57" s="21"/>
    </row>
    <row r="58" spans="1:708" ht="67.5" customHeight="1" x14ac:dyDescent="0.25">
      <c r="A58" s="99" t="s">
        <v>43</v>
      </c>
      <c r="B58" s="99" t="s">
        <v>44</v>
      </c>
      <c r="C58" s="99" t="s">
        <v>45</v>
      </c>
      <c r="D58" s="99" t="s">
        <v>46</v>
      </c>
      <c r="E58" s="99" t="s">
        <v>71</v>
      </c>
      <c r="F58" s="99" t="s">
        <v>48</v>
      </c>
      <c r="G58" s="99" t="s">
        <v>49</v>
      </c>
      <c r="H58" s="99" t="s">
        <v>50</v>
      </c>
      <c r="I58" s="99" t="s">
        <v>78</v>
      </c>
      <c r="J58" s="99" t="s">
        <v>52</v>
      </c>
      <c r="K58" s="99" t="s">
        <v>284</v>
      </c>
      <c r="L58" s="99" t="s">
        <v>285</v>
      </c>
      <c r="M58" s="99" t="s">
        <v>286</v>
      </c>
      <c r="N58" s="99" t="s">
        <v>56</v>
      </c>
      <c r="O58" s="99"/>
      <c r="P58" s="99">
        <v>100</v>
      </c>
      <c r="Q58" s="99" t="s">
        <v>287</v>
      </c>
      <c r="R58" s="99" t="s">
        <v>288</v>
      </c>
      <c r="S58" s="99" t="s">
        <v>56</v>
      </c>
      <c r="T58" s="99"/>
      <c r="U58" s="99">
        <v>359</v>
      </c>
      <c r="V58" s="106">
        <v>522461253</v>
      </c>
      <c r="W58" s="569">
        <v>64326892613</v>
      </c>
      <c r="X58" s="99" t="s">
        <v>289</v>
      </c>
      <c r="Y58" s="99">
        <v>0</v>
      </c>
      <c r="Z58" s="99">
        <f>+P58</f>
        <v>100</v>
      </c>
      <c r="AA58" s="99">
        <f>Y58/Z58</f>
        <v>0</v>
      </c>
      <c r="AB58" s="107" t="s">
        <v>290</v>
      </c>
      <c r="AC58" s="99">
        <v>0</v>
      </c>
      <c r="AD58" s="99">
        <f>+U58</f>
        <v>359</v>
      </c>
      <c r="AE58" s="108">
        <f>+AC58/AD58</f>
        <v>0</v>
      </c>
      <c r="AF58" s="99" t="s">
        <v>291</v>
      </c>
      <c r="AG58" s="109">
        <v>0</v>
      </c>
      <c r="AH58" s="109">
        <v>100</v>
      </c>
      <c r="AI58" s="110">
        <v>0</v>
      </c>
      <c r="AJ58" s="111" t="s">
        <v>292</v>
      </c>
      <c r="AK58" s="109">
        <v>17</v>
      </c>
      <c r="AL58" s="109">
        <v>359</v>
      </c>
      <c r="AM58" s="110">
        <v>4.7353760445682451E-2</v>
      </c>
      <c r="AN58" s="109" t="s">
        <v>293</v>
      </c>
      <c r="AO58" s="109">
        <v>0</v>
      </c>
      <c r="AP58" s="109">
        <f>+P58</f>
        <v>100</v>
      </c>
      <c r="AQ58" s="110">
        <f>AO58/AP58</f>
        <v>0</v>
      </c>
      <c r="AR58" s="111" t="s">
        <v>294</v>
      </c>
      <c r="AS58" s="109">
        <v>76</v>
      </c>
      <c r="AT58" s="109">
        <f>+U58</f>
        <v>359</v>
      </c>
      <c r="AU58" s="110">
        <f>+AS58/AT58</f>
        <v>0.2116991643454039</v>
      </c>
      <c r="AV58" s="109" t="s">
        <v>295</v>
      </c>
    </row>
    <row r="59" spans="1:708" ht="69" customHeight="1" x14ac:dyDescent="0.25">
      <c r="A59" s="96" t="s">
        <v>43</v>
      </c>
      <c r="B59" s="96" t="s">
        <v>44</v>
      </c>
      <c r="C59" s="96" t="s">
        <v>45</v>
      </c>
      <c r="D59" s="96" t="s">
        <v>46</v>
      </c>
      <c r="E59" s="96" t="s">
        <v>71</v>
      </c>
      <c r="F59" s="96" t="s">
        <v>48</v>
      </c>
      <c r="G59" s="96" t="s">
        <v>49</v>
      </c>
      <c r="H59" s="96" t="s">
        <v>50</v>
      </c>
      <c r="I59" s="96" t="s">
        <v>78</v>
      </c>
      <c r="J59" s="96" t="s">
        <v>52</v>
      </c>
      <c r="K59" s="96" t="s">
        <v>284</v>
      </c>
      <c r="L59" s="96" t="s">
        <v>296</v>
      </c>
      <c r="M59" s="96" t="s">
        <v>297</v>
      </c>
      <c r="N59" s="96" t="s">
        <v>74</v>
      </c>
      <c r="O59" s="96"/>
      <c r="P59" s="112">
        <v>1</v>
      </c>
      <c r="Q59" s="495"/>
      <c r="R59" s="496"/>
      <c r="S59" s="496"/>
      <c r="T59" s="496"/>
      <c r="U59" s="497"/>
      <c r="V59" s="113">
        <v>232686638</v>
      </c>
      <c r="W59" s="569"/>
      <c r="X59" s="96" t="s">
        <v>289</v>
      </c>
      <c r="Y59" s="114">
        <f>(2/27)</f>
        <v>7.407407407407407E-2</v>
      </c>
      <c r="Z59" s="114">
        <f>+P59</f>
        <v>1</v>
      </c>
      <c r="AA59" s="115">
        <f>Y59/Z59</f>
        <v>7.407407407407407E-2</v>
      </c>
      <c r="AB59" s="116" t="s">
        <v>298</v>
      </c>
      <c r="AC59" s="591"/>
      <c r="AD59" s="592"/>
      <c r="AE59" s="592"/>
      <c r="AF59" s="592"/>
      <c r="AG59" s="117">
        <v>0.61111111111111116</v>
      </c>
      <c r="AH59" s="117">
        <v>1</v>
      </c>
      <c r="AI59" s="118">
        <v>0.61111111111111116</v>
      </c>
      <c r="AJ59" s="119" t="s">
        <v>299</v>
      </c>
      <c r="AK59" s="593"/>
      <c r="AL59" s="594"/>
      <c r="AM59" s="594"/>
      <c r="AN59" s="594"/>
      <c r="AO59" s="117">
        <f>(16/23)</f>
        <v>0.69565217391304346</v>
      </c>
      <c r="AP59" s="117">
        <f>+P59</f>
        <v>1</v>
      </c>
      <c r="AQ59" s="118">
        <f>AO59/AP59</f>
        <v>0.69565217391304346</v>
      </c>
      <c r="AR59" s="119" t="s">
        <v>300</v>
      </c>
      <c r="AS59" s="593"/>
      <c r="AT59" s="594"/>
      <c r="AU59" s="594"/>
      <c r="AV59" s="594"/>
    </row>
    <row r="60" spans="1:708" ht="78" customHeight="1" x14ac:dyDescent="0.25">
      <c r="A60" s="99" t="s">
        <v>43</v>
      </c>
      <c r="B60" s="99" t="s">
        <v>44</v>
      </c>
      <c r="C60" s="99" t="s">
        <v>45</v>
      </c>
      <c r="D60" s="99" t="s">
        <v>46</v>
      </c>
      <c r="E60" s="99" t="s">
        <v>71</v>
      </c>
      <c r="F60" s="99" t="s">
        <v>48</v>
      </c>
      <c r="G60" s="99" t="s">
        <v>49</v>
      </c>
      <c r="H60" s="99" t="s">
        <v>50</v>
      </c>
      <c r="I60" s="99" t="s">
        <v>78</v>
      </c>
      <c r="J60" s="99" t="s">
        <v>52</v>
      </c>
      <c r="K60" s="99" t="s">
        <v>284</v>
      </c>
      <c r="L60" s="99" t="s">
        <v>301</v>
      </c>
      <c r="M60" s="99" t="s">
        <v>302</v>
      </c>
      <c r="N60" s="99" t="s">
        <v>56</v>
      </c>
      <c r="O60" s="99">
        <v>14</v>
      </c>
      <c r="P60" s="99">
        <v>14</v>
      </c>
      <c r="Q60" s="495"/>
      <c r="R60" s="496"/>
      <c r="S60" s="496"/>
      <c r="T60" s="496"/>
      <c r="U60" s="497"/>
      <c r="V60" s="106">
        <v>229965940</v>
      </c>
      <c r="W60" s="569"/>
      <c r="X60" s="99" t="s">
        <v>289</v>
      </c>
      <c r="Y60" s="99">
        <v>0</v>
      </c>
      <c r="Z60" s="99">
        <f>+P60</f>
        <v>14</v>
      </c>
      <c r="AA60" s="99">
        <f>Y60/Z60</f>
        <v>0</v>
      </c>
      <c r="AB60" s="107" t="s">
        <v>303</v>
      </c>
      <c r="AC60" s="595"/>
      <c r="AD60" s="596"/>
      <c r="AE60" s="596"/>
      <c r="AF60" s="597"/>
      <c r="AG60" s="109">
        <v>0</v>
      </c>
      <c r="AH60" s="109">
        <v>14</v>
      </c>
      <c r="AI60" s="110">
        <v>0</v>
      </c>
      <c r="AJ60" s="111" t="s">
        <v>304</v>
      </c>
      <c r="AK60" s="598"/>
      <c r="AL60" s="599"/>
      <c r="AM60" s="599"/>
      <c r="AN60" s="600"/>
      <c r="AO60" s="109">
        <v>0</v>
      </c>
      <c r="AP60" s="109">
        <f>+P60</f>
        <v>14</v>
      </c>
      <c r="AQ60" s="110">
        <f>AO60/AP60</f>
        <v>0</v>
      </c>
      <c r="AR60" s="111" t="s">
        <v>305</v>
      </c>
      <c r="AS60" s="598"/>
      <c r="AT60" s="599"/>
      <c r="AU60" s="599"/>
      <c r="AV60" s="600"/>
    </row>
    <row r="61" spans="1:708" s="22" customFormat="1" ht="70.5" customHeight="1" x14ac:dyDescent="0.25">
      <c r="A61" s="55"/>
      <c r="B61" s="55"/>
      <c r="C61" s="55"/>
      <c r="D61" s="55"/>
      <c r="E61" s="55"/>
      <c r="F61" s="55"/>
      <c r="G61" s="55"/>
      <c r="H61" s="55"/>
      <c r="I61" s="55"/>
      <c r="J61" s="55"/>
      <c r="K61" s="55"/>
      <c r="L61" s="55"/>
      <c r="M61" s="55"/>
      <c r="N61" s="55"/>
      <c r="O61" s="55"/>
      <c r="P61" s="56"/>
      <c r="Q61" s="55"/>
      <c r="R61" s="55"/>
      <c r="S61" s="56"/>
      <c r="T61" s="55"/>
      <c r="U61" s="55"/>
      <c r="V61" s="95"/>
      <c r="W61" s="95"/>
      <c r="X61" s="55"/>
      <c r="Y61" s="388" t="s">
        <v>99</v>
      </c>
      <c r="Z61" s="388"/>
      <c r="AA61" s="58">
        <f>AVERAGE(AA58:AA60)</f>
        <v>2.4691358024691357E-2</v>
      </c>
      <c r="AB61" s="59"/>
      <c r="AC61" s="388" t="s">
        <v>100</v>
      </c>
      <c r="AD61" s="388"/>
      <c r="AE61" s="58">
        <f>AVERAGE(AE58)</f>
        <v>0</v>
      </c>
      <c r="AF61" s="61"/>
      <c r="AG61" s="564" t="s">
        <v>99</v>
      </c>
      <c r="AH61" s="564"/>
      <c r="AI61" s="62">
        <v>0.20370370370370372</v>
      </c>
      <c r="AJ61" s="63"/>
      <c r="AK61" s="564" t="s">
        <v>100</v>
      </c>
      <c r="AL61" s="564"/>
      <c r="AM61" s="62">
        <v>4.7353760445682451E-2</v>
      </c>
      <c r="AN61" s="65"/>
      <c r="AO61" s="388" t="s">
        <v>99</v>
      </c>
      <c r="AP61" s="388"/>
      <c r="AQ61" s="58">
        <f>AVERAGE(AQ58:AQ60)</f>
        <v>0.2318840579710145</v>
      </c>
      <c r="AR61" s="59"/>
      <c r="AS61" s="388" t="s">
        <v>100</v>
      </c>
      <c r="AT61" s="388"/>
      <c r="AU61" s="58">
        <f>AVERAGE(AU58)</f>
        <v>0.2116991643454039</v>
      </c>
      <c r="AV61" s="6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c r="DB61" s="21"/>
      <c r="DC61" s="21"/>
      <c r="DD61" s="21"/>
      <c r="DE61" s="21"/>
      <c r="DF61" s="21"/>
      <c r="DG61" s="21"/>
      <c r="DH61" s="21"/>
      <c r="DI61" s="21"/>
      <c r="DJ61" s="21"/>
      <c r="DK61" s="21"/>
      <c r="DL61" s="21"/>
      <c r="DM61" s="21"/>
      <c r="DN61" s="21"/>
      <c r="DO61" s="21"/>
      <c r="DP61" s="21"/>
      <c r="DQ61" s="21"/>
      <c r="DR61" s="21"/>
      <c r="DS61" s="21"/>
      <c r="DT61" s="21"/>
      <c r="DU61" s="21"/>
      <c r="DV61" s="21"/>
      <c r="DW61" s="21"/>
      <c r="DX61" s="21"/>
      <c r="DY61" s="21"/>
      <c r="DZ61" s="21"/>
      <c r="EA61" s="21"/>
      <c r="EB61" s="21"/>
      <c r="EC61" s="21"/>
      <c r="ED61" s="21"/>
      <c r="EE61" s="21"/>
      <c r="EF61" s="21"/>
      <c r="EG61" s="21"/>
      <c r="EH61" s="21"/>
      <c r="EI61" s="21"/>
      <c r="EJ61" s="21"/>
      <c r="EK61" s="21"/>
      <c r="EL61" s="21"/>
      <c r="EM61" s="21"/>
      <c r="EN61" s="21"/>
      <c r="EO61" s="21"/>
      <c r="EP61" s="21"/>
      <c r="EQ61" s="21"/>
      <c r="ER61" s="21"/>
      <c r="ES61" s="21"/>
      <c r="ET61" s="21"/>
      <c r="EU61" s="21"/>
      <c r="EV61" s="21"/>
      <c r="EW61" s="21"/>
      <c r="EX61" s="21"/>
      <c r="EY61" s="21"/>
      <c r="EZ61" s="21"/>
      <c r="FA61" s="21"/>
      <c r="FB61" s="21"/>
      <c r="FC61" s="21"/>
      <c r="FD61" s="21"/>
      <c r="FE61" s="21"/>
      <c r="FF61" s="21"/>
      <c r="FG61" s="21"/>
      <c r="FH61" s="21"/>
      <c r="FI61" s="21"/>
      <c r="FJ61" s="21"/>
      <c r="FK61" s="21"/>
      <c r="FL61" s="21"/>
      <c r="FM61" s="21"/>
      <c r="FN61" s="21"/>
      <c r="FO61" s="21"/>
      <c r="FP61" s="21"/>
      <c r="FQ61" s="21"/>
      <c r="FR61" s="21"/>
      <c r="FS61" s="21"/>
      <c r="FT61" s="21"/>
      <c r="FU61" s="21"/>
      <c r="FV61" s="21"/>
      <c r="FW61" s="21"/>
      <c r="FX61" s="21"/>
      <c r="FY61" s="21"/>
      <c r="FZ61" s="21"/>
      <c r="GA61" s="21"/>
      <c r="GB61" s="21"/>
      <c r="GC61" s="21"/>
      <c r="GD61" s="21"/>
      <c r="GE61" s="21"/>
      <c r="GF61" s="21"/>
      <c r="GG61" s="21"/>
      <c r="GH61" s="21"/>
      <c r="GI61" s="21"/>
      <c r="GJ61" s="21"/>
      <c r="GK61" s="21"/>
      <c r="GL61" s="21"/>
      <c r="GM61" s="21"/>
      <c r="GN61" s="21"/>
      <c r="GO61" s="21"/>
      <c r="GP61" s="21"/>
      <c r="GQ61" s="21"/>
      <c r="GR61" s="21"/>
      <c r="GS61" s="21"/>
      <c r="GT61" s="21"/>
      <c r="GU61" s="21"/>
      <c r="GV61" s="21"/>
      <c r="GW61" s="21"/>
      <c r="GX61" s="21"/>
      <c r="GY61" s="21"/>
      <c r="GZ61" s="21"/>
      <c r="HA61" s="21"/>
      <c r="HB61" s="21"/>
      <c r="HC61" s="21"/>
      <c r="HD61" s="21"/>
      <c r="HE61" s="21"/>
      <c r="HF61" s="21"/>
      <c r="HG61" s="21"/>
      <c r="HH61" s="21"/>
      <c r="HI61" s="21"/>
      <c r="HJ61" s="21"/>
      <c r="HK61" s="21"/>
      <c r="HL61" s="21"/>
      <c r="HM61" s="21"/>
      <c r="HN61" s="21"/>
      <c r="HO61" s="21"/>
      <c r="HP61" s="21"/>
      <c r="HQ61" s="21"/>
      <c r="HR61" s="21"/>
      <c r="HS61" s="21"/>
      <c r="HT61" s="21"/>
      <c r="HU61" s="21"/>
      <c r="HV61" s="21"/>
      <c r="HW61" s="21"/>
      <c r="HX61" s="21"/>
      <c r="HY61" s="21"/>
      <c r="HZ61" s="21"/>
      <c r="IA61" s="21"/>
      <c r="IB61" s="21"/>
      <c r="IC61" s="21"/>
      <c r="ID61" s="21"/>
      <c r="IE61" s="21"/>
      <c r="IF61" s="21"/>
      <c r="IG61" s="21"/>
      <c r="IH61" s="21"/>
      <c r="II61" s="21"/>
      <c r="IJ61" s="21"/>
      <c r="IK61" s="21"/>
      <c r="IL61" s="21"/>
      <c r="IM61" s="21"/>
      <c r="IN61" s="21"/>
      <c r="IO61" s="21"/>
      <c r="IP61" s="21"/>
      <c r="IQ61" s="21"/>
      <c r="IR61" s="21"/>
      <c r="IS61" s="21"/>
      <c r="IT61" s="21"/>
      <c r="IU61" s="21"/>
      <c r="IV61" s="21"/>
      <c r="IW61" s="21"/>
      <c r="IX61" s="21"/>
      <c r="IY61" s="21"/>
      <c r="IZ61" s="21"/>
      <c r="JA61" s="21"/>
      <c r="JB61" s="21"/>
      <c r="JC61" s="21"/>
      <c r="JD61" s="21"/>
      <c r="JE61" s="21"/>
      <c r="JF61" s="21"/>
      <c r="JG61" s="21"/>
      <c r="JH61" s="21"/>
      <c r="JI61" s="21"/>
      <c r="JJ61" s="21"/>
      <c r="JK61" s="21"/>
      <c r="JL61" s="21"/>
      <c r="JM61" s="21"/>
      <c r="JN61" s="21"/>
      <c r="JO61" s="21"/>
      <c r="JP61" s="21"/>
      <c r="JQ61" s="21"/>
      <c r="JR61" s="21"/>
      <c r="JS61" s="21"/>
      <c r="JT61" s="21"/>
      <c r="JU61" s="21"/>
      <c r="JV61" s="21"/>
      <c r="JW61" s="21"/>
      <c r="JX61" s="21"/>
      <c r="JY61" s="21"/>
      <c r="JZ61" s="21"/>
      <c r="KA61" s="21"/>
      <c r="KB61" s="21"/>
      <c r="KC61" s="21"/>
      <c r="KD61" s="21"/>
      <c r="KE61" s="21"/>
      <c r="KF61" s="21"/>
      <c r="KG61" s="21"/>
      <c r="KH61" s="21"/>
      <c r="KI61" s="21"/>
      <c r="KJ61" s="21"/>
      <c r="KK61" s="21"/>
      <c r="KL61" s="21"/>
      <c r="KM61" s="21"/>
      <c r="KN61" s="21"/>
      <c r="KO61" s="21"/>
      <c r="KP61" s="21"/>
      <c r="KQ61" s="21"/>
      <c r="KR61" s="21"/>
      <c r="KS61" s="21"/>
      <c r="KT61" s="21"/>
      <c r="KU61" s="21"/>
      <c r="KV61" s="21"/>
      <c r="KW61" s="21"/>
      <c r="KX61" s="21"/>
      <c r="KY61" s="21"/>
      <c r="KZ61" s="21"/>
      <c r="LA61" s="21"/>
      <c r="LB61" s="21"/>
      <c r="LC61" s="21"/>
      <c r="LD61" s="21"/>
      <c r="LE61" s="21"/>
      <c r="LF61" s="21"/>
      <c r="LG61" s="21"/>
      <c r="LH61" s="21"/>
      <c r="LI61" s="21"/>
      <c r="LJ61" s="21"/>
      <c r="LK61" s="21"/>
      <c r="LL61" s="21"/>
      <c r="LM61" s="21"/>
      <c r="LN61" s="21"/>
      <c r="LO61" s="21"/>
      <c r="LP61" s="21"/>
      <c r="LQ61" s="21"/>
      <c r="LR61" s="21"/>
      <c r="LS61" s="21"/>
      <c r="LT61" s="21"/>
      <c r="LU61" s="21"/>
      <c r="LV61" s="21"/>
      <c r="LW61" s="21"/>
      <c r="LX61" s="21"/>
      <c r="LY61" s="21"/>
      <c r="LZ61" s="21"/>
      <c r="MA61" s="21"/>
      <c r="MB61" s="21"/>
      <c r="MC61" s="21"/>
      <c r="MD61" s="21"/>
      <c r="ME61" s="21"/>
      <c r="MF61" s="21"/>
      <c r="MG61" s="21"/>
      <c r="MH61" s="21"/>
      <c r="MI61" s="21"/>
      <c r="MJ61" s="21"/>
      <c r="MK61" s="21"/>
      <c r="ML61" s="21"/>
      <c r="MM61" s="21"/>
      <c r="MN61" s="21"/>
      <c r="MO61" s="21"/>
      <c r="MP61" s="21"/>
      <c r="MQ61" s="21"/>
      <c r="MR61" s="21"/>
      <c r="MS61" s="21"/>
      <c r="MT61" s="21"/>
      <c r="MU61" s="21"/>
      <c r="MV61" s="21"/>
      <c r="MW61" s="21"/>
      <c r="MX61" s="21"/>
      <c r="MY61" s="21"/>
      <c r="MZ61" s="21"/>
      <c r="NA61" s="21"/>
      <c r="NB61" s="21"/>
      <c r="NC61" s="21"/>
      <c r="ND61" s="21"/>
      <c r="NE61" s="21"/>
      <c r="NF61" s="21"/>
      <c r="NG61" s="21"/>
      <c r="NH61" s="21"/>
      <c r="NI61" s="21"/>
      <c r="NJ61" s="21"/>
      <c r="NK61" s="21"/>
      <c r="NL61" s="21"/>
      <c r="NM61" s="21"/>
      <c r="NN61" s="21"/>
      <c r="NO61" s="21"/>
      <c r="NP61" s="21"/>
      <c r="NQ61" s="21"/>
      <c r="NR61" s="21"/>
      <c r="NS61" s="21"/>
      <c r="NT61" s="21"/>
      <c r="NU61" s="21"/>
      <c r="NV61" s="21"/>
      <c r="NW61" s="21"/>
      <c r="NX61" s="21"/>
      <c r="NY61" s="21"/>
      <c r="NZ61" s="21"/>
      <c r="OA61" s="21"/>
      <c r="OB61" s="21"/>
      <c r="OC61" s="21"/>
      <c r="OD61" s="21"/>
      <c r="OE61" s="21"/>
      <c r="OF61" s="21"/>
      <c r="OG61" s="21"/>
      <c r="OH61" s="21"/>
      <c r="OI61" s="21"/>
      <c r="OJ61" s="21"/>
      <c r="OK61" s="21"/>
      <c r="OL61" s="21"/>
      <c r="OM61" s="21"/>
      <c r="ON61" s="21"/>
      <c r="OO61" s="21"/>
      <c r="OP61" s="21"/>
      <c r="OQ61" s="21"/>
      <c r="OR61" s="21"/>
      <c r="OS61" s="21"/>
      <c r="OT61" s="21"/>
      <c r="OU61" s="21"/>
      <c r="OV61" s="21"/>
      <c r="OW61" s="21"/>
      <c r="OX61" s="21"/>
      <c r="OY61" s="21"/>
      <c r="OZ61" s="21"/>
      <c r="PA61" s="21"/>
      <c r="PB61" s="21"/>
      <c r="PC61" s="21"/>
      <c r="PD61" s="21"/>
      <c r="PE61" s="21"/>
      <c r="PF61" s="21"/>
      <c r="PG61" s="21"/>
      <c r="PH61" s="21"/>
      <c r="PI61" s="21"/>
      <c r="PJ61" s="21"/>
      <c r="PK61" s="21"/>
      <c r="PL61" s="21"/>
      <c r="PM61" s="21"/>
      <c r="PN61" s="21"/>
      <c r="PO61" s="21"/>
      <c r="PP61" s="21"/>
      <c r="PQ61" s="21"/>
      <c r="PR61" s="21"/>
      <c r="PS61" s="21"/>
      <c r="PT61" s="21"/>
      <c r="PU61" s="21"/>
      <c r="PV61" s="21"/>
      <c r="PW61" s="21"/>
      <c r="PX61" s="21"/>
      <c r="PY61" s="21"/>
      <c r="PZ61" s="21"/>
      <c r="QA61" s="21"/>
      <c r="QB61" s="21"/>
      <c r="QC61" s="21"/>
      <c r="QD61" s="21"/>
      <c r="QE61" s="21"/>
      <c r="QF61" s="21"/>
      <c r="QG61" s="21"/>
      <c r="QH61" s="21"/>
      <c r="QI61" s="21"/>
      <c r="QJ61" s="21"/>
      <c r="QK61" s="21"/>
      <c r="QL61" s="21"/>
      <c r="QM61" s="21"/>
      <c r="QN61" s="21"/>
      <c r="QO61" s="21"/>
      <c r="QP61" s="21"/>
      <c r="QQ61" s="21"/>
      <c r="QR61" s="21"/>
      <c r="QS61" s="21"/>
      <c r="QT61" s="21"/>
      <c r="QU61" s="21"/>
      <c r="QV61" s="21"/>
      <c r="QW61" s="21"/>
      <c r="QX61" s="21"/>
      <c r="QY61" s="21"/>
      <c r="QZ61" s="21"/>
      <c r="RA61" s="21"/>
      <c r="RB61" s="21"/>
      <c r="RC61" s="21"/>
      <c r="RD61" s="21"/>
      <c r="RE61" s="21"/>
      <c r="RF61" s="21"/>
      <c r="RG61" s="21"/>
      <c r="RH61" s="21"/>
      <c r="RI61" s="21"/>
      <c r="RJ61" s="21"/>
      <c r="RK61" s="21"/>
      <c r="RL61" s="21"/>
      <c r="RM61" s="21"/>
      <c r="RN61" s="21"/>
      <c r="RO61" s="21"/>
      <c r="RP61" s="21"/>
      <c r="RQ61" s="21"/>
      <c r="RR61" s="21"/>
      <c r="RS61" s="21"/>
      <c r="RT61" s="21"/>
      <c r="RU61" s="21"/>
      <c r="RV61" s="21"/>
      <c r="RW61" s="21"/>
      <c r="RX61" s="21"/>
      <c r="RY61" s="21"/>
      <c r="RZ61" s="21"/>
      <c r="SA61" s="21"/>
      <c r="SB61" s="21"/>
      <c r="SC61" s="21"/>
      <c r="SD61" s="21"/>
      <c r="SE61" s="21"/>
      <c r="SF61" s="21"/>
      <c r="SG61" s="21"/>
      <c r="SH61" s="21"/>
      <c r="SI61" s="21"/>
      <c r="SJ61" s="21"/>
      <c r="SK61" s="21"/>
      <c r="SL61" s="21"/>
      <c r="SM61" s="21"/>
      <c r="SN61" s="21"/>
      <c r="SO61" s="21"/>
      <c r="SP61" s="21"/>
      <c r="SQ61" s="21"/>
      <c r="SR61" s="21"/>
      <c r="SS61" s="21"/>
      <c r="ST61" s="21"/>
      <c r="SU61" s="21"/>
      <c r="SV61" s="21"/>
      <c r="SW61" s="21"/>
      <c r="SX61" s="21"/>
      <c r="SY61" s="21"/>
      <c r="SZ61" s="21"/>
      <c r="TA61" s="21"/>
      <c r="TB61" s="21"/>
      <c r="TC61" s="21"/>
      <c r="TD61" s="21"/>
      <c r="TE61" s="21"/>
      <c r="TF61" s="21"/>
      <c r="TG61" s="21"/>
      <c r="TH61" s="21"/>
      <c r="TI61" s="21"/>
      <c r="TJ61" s="21"/>
      <c r="TK61" s="21"/>
      <c r="TL61" s="21"/>
      <c r="TM61" s="21"/>
      <c r="TN61" s="21"/>
      <c r="TO61" s="21"/>
      <c r="TP61" s="21"/>
      <c r="TQ61" s="21"/>
      <c r="TR61" s="21"/>
      <c r="TS61" s="21"/>
      <c r="TT61" s="21"/>
      <c r="TU61" s="21"/>
      <c r="TV61" s="21"/>
      <c r="TW61" s="21"/>
      <c r="TX61" s="21"/>
      <c r="TY61" s="21"/>
      <c r="TZ61" s="21"/>
      <c r="UA61" s="21"/>
      <c r="UB61" s="21"/>
      <c r="UC61" s="21"/>
      <c r="UD61" s="21"/>
      <c r="UE61" s="21"/>
      <c r="UF61" s="21"/>
      <c r="UG61" s="21"/>
      <c r="UH61" s="21"/>
      <c r="UI61" s="21"/>
      <c r="UJ61" s="21"/>
      <c r="UK61" s="21"/>
      <c r="UL61" s="21"/>
      <c r="UM61" s="21"/>
      <c r="UN61" s="21"/>
      <c r="UO61" s="21"/>
      <c r="UP61" s="21"/>
      <c r="UQ61" s="21"/>
      <c r="UR61" s="21"/>
      <c r="US61" s="21"/>
      <c r="UT61" s="21"/>
      <c r="UU61" s="21"/>
      <c r="UV61" s="21"/>
      <c r="UW61" s="21"/>
      <c r="UX61" s="21"/>
      <c r="UY61" s="21"/>
      <c r="UZ61" s="21"/>
      <c r="VA61" s="21"/>
      <c r="VB61" s="21"/>
      <c r="VC61" s="21"/>
      <c r="VD61" s="21"/>
      <c r="VE61" s="21"/>
      <c r="VF61" s="21"/>
      <c r="VG61" s="21"/>
      <c r="VH61" s="21"/>
      <c r="VI61" s="21"/>
      <c r="VJ61" s="21"/>
      <c r="VK61" s="21"/>
      <c r="VL61" s="21"/>
      <c r="VM61" s="21"/>
      <c r="VN61" s="21"/>
      <c r="VO61" s="21"/>
      <c r="VP61" s="21"/>
      <c r="VQ61" s="21"/>
      <c r="VR61" s="21"/>
      <c r="VS61" s="21"/>
      <c r="VT61" s="21"/>
      <c r="VU61" s="21"/>
      <c r="VV61" s="21"/>
      <c r="VW61" s="21"/>
      <c r="VX61" s="21"/>
      <c r="VY61" s="21"/>
      <c r="VZ61" s="21"/>
      <c r="WA61" s="21"/>
      <c r="WB61" s="21"/>
      <c r="WC61" s="21"/>
      <c r="WD61" s="21"/>
      <c r="WE61" s="21"/>
      <c r="WF61" s="21"/>
      <c r="WG61" s="21"/>
      <c r="WH61" s="21"/>
      <c r="WI61" s="21"/>
      <c r="WJ61" s="21"/>
      <c r="WK61" s="21"/>
      <c r="WL61" s="21"/>
      <c r="WM61" s="21"/>
      <c r="WN61" s="21"/>
      <c r="WO61" s="21"/>
      <c r="WP61" s="21"/>
      <c r="WQ61" s="21"/>
      <c r="WR61" s="21"/>
      <c r="WS61" s="21"/>
      <c r="WT61" s="21"/>
      <c r="WU61" s="21"/>
      <c r="WV61" s="21"/>
      <c r="WW61" s="21"/>
      <c r="WX61" s="21"/>
      <c r="WY61" s="21"/>
      <c r="WZ61" s="21"/>
      <c r="XA61" s="21"/>
      <c r="XB61" s="21"/>
      <c r="XC61" s="21"/>
      <c r="XD61" s="21"/>
      <c r="XE61" s="21"/>
      <c r="XF61" s="21"/>
      <c r="XG61" s="21"/>
      <c r="XH61" s="21"/>
      <c r="XI61" s="21"/>
      <c r="XJ61" s="21"/>
      <c r="XK61" s="21"/>
      <c r="XL61" s="21"/>
      <c r="XM61" s="21"/>
      <c r="XN61" s="21"/>
      <c r="XO61" s="21"/>
      <c r="XP61" s="21"/>
      <c r="XQ61" s="21"/>
      <c r="XR61" s="21"/>
      <c r="XS61" s="21"/>
      <c r="XT61" s="21"/>
      <c r="XU61" s="21"/>
      <c r="XV61" s="21"/>
      <c r="XW61" s="21"/>
      <c r="XX61" s="21"/>
      <c r="XY61" s="21"/>
      <c r="XZ61" s="21"/>
      <c r="YA61" s="21"/>
      <c r="YB61" s="21"/>
      <c r="YC61" s="21"/>
      <c r="YD61" s="21"/>
      <c r="YE61" s="21"/>
      <c r="YF61" s="21"/>
      <c r="YG61" s="21"/>
      <c r="YH61" s="21"/>
      <c r="YI61" s="21"/>
      <c r="YJ61" s="21"/>
      <c r="YK61" s="21"/>
      <c r="YL61" s="21"/>
      <c r="YM61" s="21"/>
      <c r="YN61" s="21"/>
      <c r="YO61" s="21"/>
      <c r="YP61" s="21"/>
      <c r="YQ61" s="21"/>
      <c r="YR61" s="21"/>
      <c r="YS61" s="21"/>
      <c r="YT61" s="21"/>
      <c r="YU61" s="21"/>
      <c r="YV61" s="21"/>
      <c r="YW61" s="21"/>
      <c r="YX61" s="21"/>
      <c r="YY61" s="21"/>
      <c r="YZ61" s="21"/>
      <c r="ZA61" s="21"/>
      <c r="ZB61" s="21"/>
      <c r="ZC61" s="21"/>
      <c r="ZD61" s="21"/>
      <c r="ZE61" s="21"/>
      <c r="ZF61" s="21"/>
      <c r="ZG61" s="21"/>
      <c r="ZH61" s="21"/>
      <c r="ZI61" s="21"/>
      <c r="ZJ61" s="21"/>
      <c r="ZK61" s="21"/>
      <c r="ZL61" s="21"/>
      <c r="ZM61" s="21"/>
      <c r="ZN61" s="21"/>
      <c r="ZO61" s="21"/>
      <c r="ZP61" s="21"/>
      <c r="ZQ61" s="21"/>
      <c r="ZR61" s="21"/>
      <c r="ZS61" s="21"/>
      <c r="ZT61" s="21"/>
      <c r="ZU61" s="21"/>
      <c r="ZV61" s="21"/>
      <c r="ZW61" s="21"/>
      <c r="ZX61" s="21"/>
      <c r="ZY61" s="21"/>
      <c r="ZZ61" s="21"/>
      <c r="AAA61" s="21"/>
      <c r="AAB61" s="21"/>
      <c r="AAC61" s="21"/>
      <c r="AAD61" s="21"/>
      <c r="AAE61" s="21"/>
      <c r="AAF61" s="21"/>
    </row>
    <row r="62" spans="1:708" ht="65.25" customHeight="1" x14ac:dyDescent="0.25">
      <c r="A62" s="67" t="s">
        <v>43</v>
      </c>
      <c r="B62" s="67" t="s">
        <v>44</v>
      </c>
      <c r="C62" s="67" t="s">
        <v>45</v>
      </c>
      <c r="D62" s="67" t="s">
        <v>306</v>
      </c>
      <c r="E62" s="67" t="s">
        <v>71</v>
      </c>
      <c r="F62" s="67" t="s">
        <v>48</v>
      </c>
      <c r="G62" s="67" t="s">
        <v>49</v>
      </c>
      <c r="H62" s="67" t="s">
        <v>50</v>
      </c>
      <c r="I62" s="67" t="s">
        <v>51</v>
      </c>
      <c r="J62" s="67" t="s">
        <v>52</v>
      </c>
      <c r="K62" s="67" t="s">
        <v>307</v>
      </c>
      <c r="L62" s="67" t="s">
        <v>308</v>
      </c>
      <c r="M62" s="67" t="s">
        <v>309</v>
      </c>
      <c r="N62" s="67" t="s">
        <v>56</v>
      </c>
      <c r="O62" s="67">
        <v>289</v>
      </c>
      <c r="P62" s="67">
        <v>260</v>
      </c>
      <c r="Q62" s="601"/>
      <c r="R62" s="601"/>
      <c r="S62" s="601"/>
      <c r="T62" s="601"/>
      <c r="U62" s="601"/>
      <c r="V62" s="97">
        <v>147413631</v>
      </c>
      <c r="W62" s="97">
        <v>64326892613</v>
      </c>
      <c r="X62" s="67" t="s">
        <v>59</v>
      </c>
      <c r="Y62" s="87">
        <v>23</v>
      </c>
      <c r="Z62" s="87">
        <f>+P62</f>
        <v>260</v>
      </c>
      <c r="AA62" s="90">
        <f>+Y62/Z62</f>
        <v>8.8461538461538466E-2</v>
      </c>
      <c r="AB62" s="66" t="s">
        <v>310</v>
      </c>
      <c r="AC62" s="602"/>
      <c r="AD62" s="602"/>
      <c r="AE62" s="602"/>
      <c r="AF62" s="602"/>
      <c r="AG62" s="91">
        <v>43</v>
      </c>
      <c r="AH62" s="91">
        <v>260</v>
      </c>
      <c r="AI62" s="92">
        <v>0.16538461538461538</v>
      </c>
      <c r="AJ62" s="98" t="s">
        <v>311</v>
      </c>
      <c r="AK62" s="603"/>
      <c r="AL62" s="603"/>
      <c r="AM62" s="603"/>
      <c r="AN62" s="603"/>
      <c r="AO62" s="91">
        <v>55</v>
      </c>
      <c r="AP62" s="91">
        <f>+P62</f>
        <v>260</v>
      </c>
      <c r="AQ62" s="92">
        <f>+AO62/AP62</f>
        <v>0.21153846153846154</v>
      </c>
      <c r="AR62" s="98" t="s">
        <v>312</v>
      </c>
      <c r="AS62" s="602"/>
      <c r="AT62" s="602"/>
      <c r="AU62" s="602"/>
      <c r="AV62" s="602"/>
    </row>
    <row r="63" spans="1:708" ht="66.75" customHeight="1" x14ac:dyDescent="0.25">
      <c r="A63" s="74" t="s">
        <v>43</v>
      </c>
      <c r="B63" s="74" t="s">
        <v>44</v>
      </c>
      <c r="C63" s="74" t="s">
        <v>45</v>
      </c>
      <c r="D63" s="74" t="s">
        <v>306</v>
      </c>
      <c r="E63" s="74" t="s">
        <v>71</v>
      </c>
      <c r="F63" s="74" t="s">
        <v>48</v>
      </c>
      <c r="G63" s="74" t="s">
        <v>49</v>
      </c>
      <c r="H63" s="74" t="s">
        <v>50</v>
      </c>
      <c r="I63" s="74" t="s">
        <v>78</v>
      </c>
      <c r="J63" s="74" t="s">
        <v>52</v>
      </c>
      <c r="K63" s="74" t="s">
        <v>307</v>
      </c>
      <c r="L63" s="74" t="s">
        <v>313</v>
      </c>
      <c r="M63" s="74" t="s">
        <v>314</v>
      </c>
      <c r="N63" s="74" t="s">
        <v>56</v>
      </c>
      <c r="O63" s="74">
        <v>2800</v>
      </c>
      <c r="P63" s="74">
        <v>2800</v>
      </c>
      <c r="Q63" s="601"/>
      <c r="R63" s="601"/>
      <c r="S63" s="601"/>
      <c r="T63" s="601"/>
      <c r="U63" s="601"/>
      <c r="V63" s="101">
        <v>764747058</v>
      </c>
      <c r="W63" s="101">
        <v>64326892613</v>
      </c>
      <c r="X63" s="74" t="s">
        <v>59</v>
      </c>
      <c r="Y63" s="74">
        <v>311</v>
      </c>
      <c r="Z63" s="74">
        <f>+P63</f>
        <v>2800</v>
      </c>
      <c r="AA63" s="76">
        <f>+Y63/Z63</f>
        <v>0.11107142857142857</v>
      </c>
      <c r="AB63" s="73" t="s">
        <v>315</v>
      </c>
      <c r="AC63" s="601"/>
      <c r="AD63" s="601"/>
      <c r="AE63" s="601"/>
      <c r="AF63" s="601"/>
      <c r="AG63" s="77">
        <v>752</v>
      </c>
      <c r="AH63" s="77">
        <v>2800</v>
      </c>
      <c r="AI63" s="78">
        <v>0.26857142857142857</v>
      </c>
      <c r="AJ63" s="103" t="s">
        <v>316</v>
      </c>
      <c r="AK63" s="604"/>
      <c r="AL63" s="604"/>
      <c r="AM63" s="604"/>
      <c r="AN63" s="604"/>
      <c r="AO63" s="77">
        <v>1207</v>
      </c>
      <c r="AP63" s="77">
        <f>+P63</f>
        <v>2800</v>
      </c>
      <c r="AQ63" s="78">
        <f>+AO63/AP63</f>
        <v>0.43107142857142855</v>
      </c>
      <c r="AR63" s="103" t="s">
        <v>317</v>
      </c>
      <c r="AS63" s="601"/>
      <c r="AT63" s="601"/>
      <c r="AU63" s="601"/>
      <c r="AV63" s="601"/>
    </row>
    <row r="64" spans="1:708" ht="36.75" customHeight="1" x14ac:dyDescent="0.25">
      <c r="A64" s="67" t="s">
        <v>43</v>
      </c>
      <c r="B64" s="67" t="s">
        <v>44</v>
      </c>
      <c r="C64" s="67" t="s">
        <v>45</v>
      </c>
      <c r="D64" s="67" t="s">
        <v>306</v>
      </c>
      <c r="E64" s="67" t="s">
        <v>71</v>
      </c>
      <c r="F64" s="67" t="s">
        <v>48</v>
      </c>
      <c r="G64" s="67" t="s">
        <v>49</v>
      </c>
      <c r="H64" s="67" t="s">
        <v>50</v>
      </c>
      <c r="I64" s="67" t="s">
        <v>51</v>
      </c>
      <c r="J64" s="67" t="s">
        <v>52</v>
      </c>
      <c r="K64" s="67" t="s">
        <v>307</v>
      </c>
      <c r="L64" s="67" t="s">
        <v>318</v>
      </c>
      <c r="M64" s="67" t="s">
        <v>319</v>
      </c>
      <c r="N64" s="67" t="s">
        <v>56</v>
      </c>
      <c r="O64" s="67"/>
      <c r="P64" s="67">
        <v>1365</v>
      </c>
      <c r="Q64" s="601"/>
      <c r="R64" s="601"/>
      <c r="S64" s="601"/>
      <c r="T64" s="601"/>
      <c r="U64" s="601"/>
      <c r="V64" s="97">
        <v>147114156</v>
      </c>
      <c r="W64" s="97">
        <v>64326892613</v>
      </c>
      <c r="X64" s="67" t="s">
        <v>59</v>
      </c>
      <c r="Y64" s="87"/>
      <c r="Z64" s="87">
        <f>+P64</f>
        <v>1365</v>
      </c>
      <c r="AA64" s="90">
        <f>+Y64/Z64</f>
        <v>0</v>
      </c>
      <c r="AB64" s="66" t="s">
        <v>320</v>
      </c>
      <c r="AC64" s="602"/>
      <c r="AD64" s="602"/>
      <c r="AE64" s="602"/>
      <c r="AF64" s="602"/>
      <c r="AG64" s="91"/>
      <c r="AH64" s="91">
        <v>1365</v>
      </c>
      <c r="AI64" s="92">
        <v>0</v>
      </c>
      <c r="AJ64" s="98" t="s">
        <v>320</v>
      </c>
      <c r="AK64" s="603"/>
      <c r="AL64" s="603"/>
      <c r="AM64" s="603"/>
      <c r="AN64" s="603"/>
      <c r="AO64" s="91">
        <v>0</v>
      </c>
      <c r="AP64" s="91">
        <f>+P64</f>
        <v>1365</v>
      </c>
      <c r="AQ64" s="92">
        <f>+AO64/AP64</f>
        <v>0</v>
      </c>
      <c r="AR64" s="98" t="s">
        <v>320</v>
      </c>
      <c r="AS64" s="602"/>
      <c r="AT64" s="602"/>
      <c r="AU64" s="602"/>
      <c r="AV64" s="602"/>
    </row>
    <row r="65" spans="1:708" ht="66.75" customHeight="1" x14ac:dyDescent="0.25">
      <c r="A65" s="74" t="s">
        <v>43</v>
      </c>
      <c r="B65" s="74" t="s">
        <v>44</v>
      </c>
      <c r="C65" s="74" t="s">
        <v>45</v>
      </c>
      <c r="D65" s="74" t="s">
        <v>306</v>
      </c>
      <c r="E65" s="74" t="s">
        <v>71</v>
      </c>
      <c r="F65" s="74" t="s">
        <v>48</v>
      </c>
      <c r="G65" s="74" t="s">
        <v>49</v>
      </c>
      <c r="H65" s="74" t="s">
        <v>50</v>
      </c>
      <c r="I65" s="74" t="s">
        <v>78</v>
      </c>
      <c r="J65" s="74" t="s">
        <v>52</v>
      </c>
      <c r="K65" s="74" t="s">
        <v>307</v>
      </c>
      <c r="L65" s="74" t="s">
        <v>321</v>
      </c>
      <c r="M65" s="74" t="s">
        <v>322</v>
      </c>
      <c r="N65" s="74" t="s">
        <v>56</v>
      </c>
      <c r="O65" s="74"/>
      <c r="P65" s="74">
        <v>1365</v>
      </c>
      <c r="Q65" s="601"/>
      <c r="R65" s="601"/>
      <c r="S65" s="601"/>
      <c r="T65" s="601"/>
      <c r="U65" s="601"/>
      <c r="V65" s="101">
        <v>123085062</v>
      </c>
      <c r="W65" s="101">
        <v>64326892613</v>
      </c>
      <c r="X65" s="74" t="s">
        <v>59</v>
      </c>
      <c r="Y65" s="74">
        <v>23</v>
      </c>
      <c r="Z65" s="74">
        <f>+P65</f>
        <v>1365</v>
      </c>
      <c r="AA65" s="76">
        <f>+Y65/Z65</f>
        <v>1.6849816849816849E-2</v>
      </c>
      <c r="AB65" s="73" t="s">
        <v>323</v>
      </c>
      <c r="AC65" s="601"/>
      <c r="AD65" s="601"/>
      <c r="AE65" s="601"/>
      <c r="AF65" s="601"/>
      <c r="AG65" s="77">
        <v>70</v>
      </c>
      <c r="AH65" s="77">
        <v>1365</v>
      </c>
      <c r="AI65" s="78">
        <v>5.128205128205128E-2</v>
      </c>
      <c r="AJ65" s="103" t="s">
        <v>324</v>
      </c>
      <c r="AK65" s="604"/>
      <c r="AL65" s="604"/>
      <c r="AM65" s="604"/>
      <c r="AN65" s="604"/>
      <c r="AO65" s="77">
        <v>109</v>
      </c>
      <c r="AP65" s="77">
        <f>+P65</f>
        <v>1365</v>
      </c>
      <c r="AQ65" s="78">
        <f>+AO65/AP65</f>
        <v>7.9853479853479847E-2</v>
      </c>
      <c r="AR65" s="103" t="s">
        <v>325</v>
      </c>
      <c r="AS65" s="601"/>
      <c r="AT65" s="601"/>
      <c r="AU65" s="601"/>
      <c r="AV65" s="601"/>
    </row>
    <row r="66" spans="1:708" s="22" customFormat="1" ht="70.5" customHeight="1" x14ac:dyDescent="0.25">
      <c r="A66" s="55"/>
      <c r="B66" s="55"/>
      <c r="C66" s="55"/>
      <c r="D66" s="55"/>
      <c r="E66" s="55"/>
      <c r="F66" s="55"/>
      <c r="G66" s="55"/>
      <c r="H66" s="55"/>
      <c r="I66" s="55"/>
      <c r="J66" s="55"/>
      <c r="K66" s="55"/>
      <c r="L66" s="55"/>
      <c r="M66" s="55"/>
      <c r="N66" s="55"/>
      <c r="O66" s="55"/>
      <c r="P66" s="56"/>
      <c r="Q66" s="55"/>
      <c r="R66" s="55"/>
      <c r="S66" s="56"/>
      <c r="T66" s="55"/>
      <c r="U66" s="55"/>
      <c r="V66" s="95"/>
      <c r="W66" s="95"/>
      <c r="X66" s="55"/>
      <c r="Y66" s="388" t="s">
        <v>99</v>
      </c>
      <c r="Z66" s="388"/>
      <c r="AA66" s="58">
        <f>AVERAGE(AA62,AA63,AA65)</f>
        <v>7.2127594627594618E-2</v>
      </c>
      <c r="AB66" s="59"/>
      <c r="AC66" s="388" t="s">
        <v>100</v>
      </c>
      <c r="AD66" s="388"/>
      <c r="AE66" s="60" t="s">
        <v>283</v>
      </c>
      <c r="AF66" s="61"/>
      <c r="AG66" s="564" t="s">
        <v>99</v>
      </c>
      <c r="AH66" s="564"/>
      <c r="AI66" s="62">
        <v>0.16174603174603172</v>
      </c>
      <c r="AJ66" s="63"/>
      <c r="AK66" s="564" t="s">
        <v>100</v>
      </c>
      <c r="AL66" s="564"/>
      <c r="AM66" s="64" t="s">
        <v>283</v>
      </c>
      <c r="AN66" s="65"/>
      <c r="AO66" s="388" t="s">
        <v>99</v>
      </c>
      <c r="AP66" s="388"/>
      <c r="AQ66" s="58">
        <f>AVERAGE(AQ62,AQ63,AQ65)</f>
        <v>0.24082112332112335</v>
      </c>
      <c r="AR66" s="59"/>
      <c r="AS66" s="388" t="s">
        <v>100</v>
      </c>
      <c r="AT66" s="388"/>
      <c r="AU66" s="60" t="s">
        <v>283</v>
      </c>
      <c r="AV66" s="6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c r="DB66" s="21"/>
      <c r="DC66" s="21"/>
      <c r="DD66" s="21"/>
      <c r="DE66" s="21"/>
      <c r="DF66" s="21"/>
      <c r="DG66" s="21"/>
      <c r="DH66" s="21"/>
      <c r="DI66" s="21"/>
      <c r="DJ66" s="21"/>
      <c r="DK66" s="21"/>
      <c r="DL66" s="21"/>
      <c r="DM66" s="21"/>
      <c r="DN66" s="21"/>
      <c r="DO66" s="21"/>
      <c r="DP66" s="21"/>
      <c r="DQ66" s="21"/>
      <c r="DR66" s="21"/>
      <c r="DS66" s="21"/>
      <c r="DT66" s="21"/>
      <c r="DU66" s="21"/>
      <c r="DV66" s="21"/>
      <c r="DW66" s="21"/>
      <c r="DX66" s="21"/>
      <c r="DY66" s="21"/>
      <c r="DZ66" s="21"/>
      <c r="EA66" s="21"/>
      <c r="EB66" s="21"/>
      <c r="EC66" s="21"/>
      <c r="ED66" s="21"/>
      <c r="EE66" s="21"/>
      <c r="EF66" s="21"/>
      <c r="EG66" s="21"/>
      <c r="EH66" s="21"/>
      <c r="EI66" s="21"/>
      <c r="EJ66" s="21"/>
      <c r="EK66" s="21"/>
      <c r="EL66" s="21"/>
      <c r="EM66" s="21"/>
      <c r="EN66" s="21"/>
      <c r="EO66" s="21"/>
      <c r="EP66" s="21"/>
      <c r="EQ66" s="21"/>
      <c r="ER66" s="21"/>
      <c r="ES66" s="21"/>
      <c r="ET66" s="21"/>
      <c r="EU66" s="21"/>
      <c r="EV66" s="21"/>
      <c r="EW66" s="21"/>
      <c r="EX66" s="21"/>
      <c r="EY66" s="21"/>
      <c r="EZ66" s="21"/>
      <c r="FA66" s="21"/>
      <c r="FB66" s="21"/>
      <c r="FC66" s="21"/>
      <c r="FD66" s="21"/>
      <c r="FE66" s="21"/>
      <c r="FF66" s="21"/>
      <c r="FG66" s="21"/>
      <c r="FH66" s="21"/>
      <c r="FI66" s="21"/>
      <c r="FJ66" s="21"/>
      <c r="FK66" s="21"/>
      <c r="FL66" s="21"/>
      <c r="FM66" s="21"/>
      <c r="FN66" s="21"/>
      <c r="FO66" s="21"/>
      <c r="FP66" s="21"/>
      <c r="FQ66" s="21"/>
      <c r="FR66" s="21"/>
      <c r="FS66" s="21"/>
      <c r="FT66" s="21"/>
      <c r="FU66" s="21"/>
      <c r="FV66" s="21"/>
      <c r="FW66" s="21"/>
      <c r="FX66" s="21"/>
      <c r="FY66" s="21"/>
      <c r="FZ66" s="21"/>
      <c r="GA66" s="21"/>
      <c r="GB66" s="21"/>
      <c r="GC66" s="21"/>
      <c r="GD66" s="21"/>
      <c r="GE66" s="21"/>
      <c r="GF66" s="21"/>
      <c r="GG66" s="21"/>
      <c r="GH66" s="21"/>
      <c r="GI66" s="21"/>
      <c r="GJ66" s="21"/>
      <c r="GK66" s="21"/>
      <c r="GL66" s="21"/>
      <c r="GM66" s="21"/>
      <c r="GN66" s="21"/>
      <c r="GO66" s="21"/>
      <c r="GP66" s="21"/>
      <c r="GQ66" s="21"/>
      <c r="GR66" s="21"/>
      <c r="GS66" s="21"/>
      <c r="GT66" s="21"/>
      <c r="GU66" s="21"/>
      <c r="GV66" s="21"/>
      <c r="GW66" s="21"/>
      <c r="GX66" s="21"/>
      <c r="GY66" s="21"/>
      <c r="GZ66" s="21"/>
      <c r="HA66" s="21"/>
      <c r="HB66" s="21"/>
      <c r="HC66" s="21"/>
      <c r="HD66" s="21"/>
      <c r="HE66" s="21"/>
      <c r="HF66" s="21"/>
      <c r="HG66" s="21"/>
      <c r="HH66" s="21"/>
      <c r="HI66" s="21"/>
      <c r="HJ66" s="21"/>
      <c r="HK66" s="21"/>
      <c r="HL66" s="21"/>
      <c r="HM66" s="21"/>
      <c r="HN66" s="21"/>
      <c r="HO66" s="21"/>
      <c r="HP66" s="21"/>
      <c r="HQ66" s="21"/>
      <c r="HR66" s="21"/>
      <c r="HS66" s="21"/>
      <c r="HT66" s="21"/>
      <c r="HU66" s="21"/>
      <c r="HV66" s="21"/>
      <c r="HW66" s="21"/>
      <c r="HX66" s="21"/>
      <c r="HY66" s="21"/>
      <c r="HZ66" s="21"/>
      <c r="IA66" s="21"/>
      <c r="IB66" s="21"/>
      <c r="IC66" s="21"/>
      <c r="ID66" s="21"/>
      <c r="IE66" s="21"/>
      <c r="IF66" s="21"/>
      <c r="IG66" s="21"/>
      <c r="IH66" s="21"/>
      <c r="II66" s="21"/>
      <c r="IJ66" s="21"/>
      <c r="IK66" s="21"/>
      <c r="IL66" s="21"/>
      <c r="IM66" s="21"/>
      <c r="IN66" s="21"/>
      <c r="IO66" s="21"/>
      <c r="IP66" s="21"/>
      <c r="IQ66" s="21"/>
      <c r="IR66" s="21"/>
      <c r="IS66" s="21"/>
      <c r="IT66" s="21"/>
      <c r="IU66" s="21"/>
      <c r="IV66" s="21"/>
      <c r="IW66" s="21"/>
      <c r="IX66" s="21"/>
      <c r="IY66" s="21"/>
      <c r="IZ66" s="21"/>
      <c r="JA66" s="21"/>
      <c r="JB66" s="21"/>
      <c r="JC66" s="21"/>
      <c r="JD66" s="21"/>
      <c r="JE66" s="21"/>
      <c r="JF66" s="21"/>
      <c r="JG66" s="21"/>
      <c r="JH66" s="21"/>
      <c r="JI66" s="21"/>
      <c r="JJ66" s="21"/>
      <c r="JK66" s="21"/>
      <c r="JL66" s="21"/>
      <c r="JM66" s="21"/>
      <c r="JN66" s="21"/>
      <c r="JO66" s="21"/>
      <c r="JP66" s="21"/>
      <c r="JQ66" s="21"/>
      <c r="JR66" s="21"/>
      <c r="JS66" s="21"/>
      <c r="JT66" s="21"/>
      <c r="JU66" s="21"/>
      <c r="JV66" s="21"/>
      <c r="JW66" s="21"/>
      <c r="JX66" s="21"/>
      <c r="JY66" s="21"/>
      <c r="JZ66" s="21"/>
      <c r="KA66" s="21"/>
      <c r="KB66" s="21"/>
      <c r="KC66" s="21"/>
      <c r="KD66" s="21"/>
      <c r="KE66" s="21"/>
      <c r="KF66" s="21"/>
      <c r="KG66" s="21"/>
      <c r="KH66" s="21"/>
      <c r="KI66" s="21"/>
      <c r="KJ66" s="21"/>
      <c r="KK66" s="21"/>
      <c r="KL66" s="21"/>
      <c r="KM66" s="21"/>
      <c r="KN66" s="21"/>
      <c r="KO66" s="21"/>
      <c r="KP66" s="21"/>
      <c r="KQ66" s="21"/>
      <c r="KR66" s="21"/>
      <c r="KS66" s="21"/>
      <c r="KT66" s="21"/>
      <c r="KU66" s="21"/>
      <c r="KV66" s="21"/>
      <c r="KW66" s="21"/>
      <c r="KX66" s="21"/>
      <c r="KY66" s="21"/>
      <c r="KZ66" s="21"/>
      <c r="LA66" s="21"/>
      <c r="LB66" s="21"/>
      <c r="LC66" s="21"/>
      <c r="LD66" s="21"/>
      <c r="LE66" s="21"/>
      <c r="LF66" s="21"/>
      <c r="LG66" s="21"/>
      <c r="LH66" s="21"/>
      <c r="LI66" s="21"/>
      <c r="LJ66" s="21"/>
      <c r="LK66" s="21"/>
      <c r="LL66" s="21"/>
      <c r="LM66" s="21"/>
      <c r="LN66" s="21"/>
      <c r="LO66" s="21"/>
      <c r="LP66" s="21"/>
      <c r="LQ66" s="21"/>
      <c r="LR66" s="21"/>
      <c r="LS66" s="21"/>
      <c r="LT66" s="21"/>
      <c r="LU66" s="21"/>
      <c r="LV66" s="21"/>
      <c r="LW66" s="21"/>
      <c r="LX66" s="21"/>
      <c r="LY66" s="21"/>
      <c r="LZ66" s="21"/>
      <c r="MA66" s="21"/>
      <c r="MB66" s="21"/>
      <c r="MC66" s="21"/>
      <c r="MD66" s="21"/>
      <c r="ME66" s="21"/>
      <c r="MF66" s="21"/>
      <c r="MG66" s="21"/>
      <c r="MH66" s="21"/>
      <c r="MI66" s="21"/>
      <c r="MJ66" s="21"/>
      <c r="MK66" s="21"/>
      <c r="ML66" s="21"/>
      <c r="MM66" s="21"/>
      <c r="MN66" s="21"/>
      <c r="MO66" s="21"/>
      <c r="MP66" s="21"/>
      <c r="MQ66" s="21"/>
      <c r="MR66" s="21"/>
      <c r="MS66" s="21"/>
      <c r="MT66" s="21"/>
      <c r="MU66" s="21"/>
      <c r="MV66" s="21"/>
      <c r="MW66" s="21"/>
      <c r="MX66" s="21"/>
      <c r="MY66" s="21"/>
      <c r="MZ66" s="21"/>
      <c r="NA66" s="21"/>
      <c r="NB66" s="21"/>
      <c r="NC66" s="21"/>
      <c r="ND66" s="21"/>
      <c r="NE66" s="21"/>
      <c r="NF66" s="21"/>
      <c r="NG66" s="21"/>
      <c r="NH66" s="21"/>
      <c r="NI66" s="21"/>
      <c r="NJ66" s="21"/>
      <c r="NK66" s="21"/>
      <c r="NL66" s="21"/>
      <c r="NM66" s="21"/>
      <c r="NN66" s="21"/>
      <c r="NO66" s="21"/>
      <c r="NP66" s="21"/>
      <c r="NQ66" s="21"/>
      <c r="NR66" s="21"/>
      <c r="NS66" s="21"/>
      <c r="NT66" s="21"/>
      <c r="NU66" s="21"/>
      <c r="NV66" s="21"/>
      <c r="NW66" s="21"/>
      <c r="NX66" s="21"/>
      <c r="NY66" s="21"/>
      <c r="NZ66" s="21"/>
      <c r="OA66" s="21"/>
      <c r="OB66" s="21"/>
      <c r="OC66" s="21"/>
      <c r="OD66" s="21"/>
      <c r="OE66" s="21"/>
      <c r="OF66" s="21"/>
      <c r="OG66" s="21"/>
      <c r="OH66" s="21"/>
      <c r="OI66" s="21"/>
      <c r="OJ66" s="21"/>
      <c r="OK66" s="21"/>
      <c r="OL66" s="21"/>
      <c r="OM66" s="21"/>
      <c r="ON66" s="21"/>
      <c r="OO66" s="21"/>
      <c r="OP66" s="21"/>
      <c r="OQ66" s="21"/>
      <c r="OR66" s="21"/>
      <c r="OS66" s="21"/>
      <c r="OT66" s="21"/>
      <c r="OU66" s="21"/>
      <c r="OV66" s="21"/>
      <c r="OW66" s="21"/>
      <c r="OX66" s="21"/>
      <c r="OY66" s="21"/>
      <c r="OZ66" s="21"/>
      <c r="PA66" s="21"/>
      <c r="PB66" s="21"/>
      <c r="PC66" s="21"/>
      <c r="PD66" s="21"/>
      <c r="PE66" s="21"/>
      <c r="PF66" s="21"/>
      <c r="PG66" s="21"/>
      <c r="PH66" s="21"/>
      <c r="PI66" s="21"/>
      <c r="PJ66" s="21"/>
      <c r="PK66" s="21"/>
      <c r="PL66" s="21"/>
      <c r="PM66" s="21"/>
      <c r="PN66" s="21"/>
      <c r="PO66" s="21"/>
      <c r="PP66" s="21"/>
      <c r="PQ66" s="21"/>
      <c r="PR66" s="21"/>
      <c r="PS66" s="21"/>
      <c r="PT66" s="21"/>
      <c r="PU66" s="21"/>
      <c r="PV66" s="21"/>
      <c r="PW66" s="21"/>
      <c r="PX66" s="21"/>
      <c r="PY66" s="21"/>
      <c r="PZ66" s="21"/>
      <c r="QA66" s="21"/>
      <c r="QB66" s="21"/>
      <c r="QC66" s="21"/>
      <c r="QD66" s="21"/>
      <c r="QE66" s="21"/>
      <c r="QF66" s="21"/>
      <c r="QG66" s="21"/>
      <c r="QH66" s="21"/>
      <c r="QI66" s="21"/>
      <c r="QJ66" s="21"/>
      <c r="QK66" s="21"/>
      <c r="QL66" s="21"/>
      <c r="QM66" s="21"/>
      <c r="QN66" s="21"/>
      <c r="QO66" s="21"/>
      <c r="QP66" s="21"/>
      <c r="QQ66" s="21"/>
      <c r="QR66" s="21"/>
      <c r="QS66" s="21"/>
      <c r="QT66" s="21"/>
      <c r="QU66" s="21"/>
      <c r="QV66" s="21"/>
      <c r="QW66" s="21"/>
      <c r="QX66" s="21"/>
      <c r="QY66" s="21"/>
      <c r="QZ66" s="21"/>
      <c r="RA66" s="21"/>
      <c r="RB66" s="21"/>
      <c r="RC66" s="21"/>
      <c r="RD66" s="21"/>
      <c r="RE66" s="21"/>
      <c r="RF66" s="21"/>
      <c r="RG66" s="21"/>
      <c r="RH66" s="21"/>
      <c r="RI66" s="21"/>
      <c r="RJ66" s="21"/>
      <c r="RK66" s="21"/>
      <c r="RL66" s="21"/>
      <c r="RM66" s="21"/>
      <c r="RN66" s="21"/>
      <c r="RO66" s="21"/>
      <c r="RP66" s="21"/>
      <c r="RQ66" s="21"/>
      <c r="RR66" s="21"/>
      <c r="RS66" s="21"/>
      <c r="RT66" s="21"/>
      <c r="RU66" s="21"/>
      <c r="RV66" s="21"/>
      <c r="RW66" s="21"/>
      <c r="RX66" s="21"/>
      <c r="RY66" s="21"/>
      <c r="RZ66" s="21"/>
      <c r="SA66" s="21"/>
      <c r="SB66" s="21"/>
      <c r="SC66" s="21"/>
      <c r="SD66" s="21"/>
      <c r="SE66" s="21"/>
      <c r="SF66" s="21"/>
      <c r="SG66" s="21"/>
      <c r="SH66" s="21"/>
      <c r="SI66" s="21"/>
      <c r="SJ66" s="21"/>
      <c r="SK66" s="21"/>
      <c r="SL66" s="21"/>
      <c r="SM66" s="21"/>
      <c r="SN66" s="21"/>
      <c r="SO66" s="21"/>
      <c r="SP66" s="21"/>
      <c r="SQ66" s="21"/>
      <c r="SR66" s="21"/>
      <c r="SS66" s="21"/>
      <c r="ST66" s="21"/>
      <c r="SU66" s="21"/>
      <c r="SV66" s="21"/>
      <c r="SW66" s="21"/>
      <c r="SX66" s="21"/>
      <c r="SY66" s="21"/>
      <c r="SZ66" s="21"/>
      <c r="TA66" s="21"/>
      <c r="TB66" s="21"/>
      <c r="TC66" s="21"/>
      <c r="TD66" s="21"/>
      <c r="TE66" s="21"/>
      <c r="TF66" s="21"/>
      <c r="TG66" s="21"/>
      <c r="TH66" s="21"/>
      <c r="TI66" s="21"/>
      <c r="TJ66" s="21"/>
      <c r="TK66" s="21"/>
      <c r="TL66" s="21"/>
      <c r="TM66" s="21"/>
      <c r="TN66" s="21"/>
      <c r="TO66" s="21"/>
      <c r="TP66" s="21"/>
      <c r="TQ66" s="21"/>
      <c r="TR66" s="21"/>
      <c r="TS66" s="21"/>
      <c r="TT66" s="21"/>
      <c r="TU66" s="21"/>
      <c r="TV66" s="21"/>
      <c r="TW66" s="21"/>
      <c r="TX66" s="21"/>
      <c r="TY66" s="21"/>
      <c r="TZ66" s="21"/>
      <c r="UA66" s="21"/>
      <c r="UB66" s="21"/>
      <c r="UC66" s="21"/>
      <c r="UD66" s="21"/>
      <c r="UE66" s="21"/>
      <c r="UF66" s="21"/>
      <c r="UG66" s="21"/>
      <c r="UH66" s="21"/>
      <c r="UI66" s="21"/>
      <c r="UJ66" s="21"/>
      <c r="UK66" s="21"/>
      <c r="UL66" s="21"/>
      <c r="UM66" s="21"/>
      <c r="UN66" s="21"/>
      <c r="UO66" s="21"/>
      <c r="UP66" s="21"/>
      <c r="UQ66" s="21"/>
      <c r="UR66" s="21"/>
      <c r="US66" s="21"/>
      <c r="UT66" s="21"/>
      <c r="UU66" s="21"/>
      <c r="UV66" s="21"/>
      <c r="UW66" s="21"/>
      <c r="UX66" s="21"/>
      <c r="UY66" s="21"/>
      <c r="UZ66" s="21"/>
      <c r="VA66" s="21"/>
      <c r="VB66" s="21"/>
      <c r="VC66" s="21"/>
      <c r="VD66" s="21"/>
      <c r="VE66" s="21"/>
      <c r="VF66" s="21"/>
      <c r="VG66" s="21"/>
      <c r="VH66" s="21"/>
      <c r="VI66" s="21"/>
      <c r="VJ66" s="21"/>
      <c r="VK66" s="21"/>
      <c r="VL66" s="21"/>
      <c r="VM66" s="21"/>
      <c r="VN66" s="21"/>
      <c r="VO66" s="21"/>
      <c r="VP66" s="21"/>
      <c r="VQ66" s="21"/>
      <c r="VR66" s="21"/>
      <c r="VS66" s="21"/>
      <c r="VT66" s="21"/>
      <c r="VU66" s="21"/>
      <c r="VV66" s="21"/>
      <c r="VW66" s="21"/>
      <c r="VX66" s="21"/>
      <c r="VY66" s="21"/>
      <c r="VZ66" s="21"/>
      <c r="WA66" s="21"/>
      <c r="WB66" s="21"/>
      <c r="WC66" s="21"/>
      <c r="WD66" s="21"/>
      <c r="WE66" s="21"/>
      <c r="WF66" s="21"/>
      <c r="WG66" s="21"/>
      <c r="WH66" s="21"/>
      <c r="WI66" s="21"/>
      <c r="WJ66" s="21"/>
      <c r="WK66" s="21"/>
      <c r="WL66" s="21"/>
      <c r="WM66" s="21"/>
      <c r="WN66" s="21"/>
      <c r="WO66" s="21"/>
      <c r="WP66" s="21"/>
      <c r="WQ66" s="21"/>
      <c r="WR66" s="21"/>
      <c r="WS66" s="21"/>
      <c r="WT66" s="21"/>
      <c r="WU66" s="21"/>
      <c r="WV66" s="21"/>
      <c r="WW66" s="21"/>
      <c r="WX66" s="21"/>
      <c r="WY66" s="21"/>
      <c r="WZ66" s="21"/>
      <c r="XA66" s="21"/>
      <c r="XB66" s="21"/>
      <c r="XC66" s="21"/>
      <c r="XD66" s="21"/>
      <c r="XE66" s="21"/>
      <c r="XF66" s="21"/>
      <c r="XG66" s="21"/>
      <c r="XH66" s="21"/>
      <c r="XI66" s="21"/>
      <c r="XJ66" s="21"/>
      <c r="XK66" s="21"/>
      <c r="XL66" s="21"/>
      <c r="XM66" s="21"/>
      <c r="XN66" s="21"/>
      <c r="XO66" s="21"/>
      <c r="XP66" s="21"/>
      <c r="XQ66" s="21"/>
      <c r="XR66" s="21"/>
      <c r="XS66" s="21"/>
      <c r="XT66" s="21"/>
      <c r="XU66" s="21"/>
      <c r="XV66" s="21"/>
      <c r="XW66" s="21"/>
      <c r="XX66" s="21"/>
      <c r="XY66" s="21"/>
      <c r="XZ66" s="21"/>
      <c r="YA66" s="21"/>
      <c r="YB66" s="21"/>
      <c r="YC66" s="21"/>
      <c r="YD66" s="21"/>
      <c r="YE66" s="21"/>
      <c r="YF66" s="21"/>
      <c r="YG66" s="21"/>
      <c r="YH66" s="21"/>
      <c r="YI66" s="21"/>
      <c r="YJ66" s="21"/>
      <c r="YK66" s="21"/>
      <c r="YL66" s="21"/>
      <c r="YM66" s="21"/>
      <c r="YN66" s="21"/>
      <c r="YO66" s="21"/>
      <c r="YP66" s="21"/>
      <c r="YQ66" s="21"/>
      <c r="YR66" s="21"/>
      <c r="YS66" s="21"/>
      <c r="YT66" s="21"/>
      <c r="YU66" s="21"/>
      <c r="YV66" s="21"/>
      <c r="YW66" s="21"/>
      <c r="YX66" s="21"/>
      <c r="YY66" s="21"/>
      <c r="YZ66" s="21"/>
      <c r="ZA66" s="21"/>
      <c r="ZB66" s="21"/>
      <c r="ZC66" s="21"/>
      <c r="ZD66" s="21"/>
      <c r="ZE66" s="21"/>
      <c r="ZF66" s="21"/>
      <c r="ZG66" s="21"/>
      <c r="ZH66" s="21"/>
      <c r="ZI66" s="21"/>
      <c r="ZJ66" s="21"/>
      <c r="ZK66" s="21"/>
      <c r="ZL66" s="21"/>
      <c r="ZM66" s="21"/>
      <c r="ZN66" s="21"/>
      <c r="ZO66" s="21"/>
      <c r="ZP66" s="21"/>
      <c r="ZQ66" s="21"/>
      <c r="ZR66" s="21"/>
      <c r="ZS66" s="21"/>
      <c r="ZT66" s="21"/>
      <c r="ZU66" s="21"/>
      <c r="ZV66" s="21"/>
      <c r="ZW66" s="21"/>
      <c r="ZX66" s="21"/>
      <c r="ZY66" s="21"/>
      <c r="ZZ66" s="21"/>
      <c r="AAA66" s="21"/>
      <c r="AAB66" s="21"/>
      <c r="AAC66" s="21"/>
      <c r="AAD66" s="21"/>
      <c r="AAE66" s="21"/>
      <c r="AAF66" s="21"/>
    </row>
    <row r="67" spans="1:708" ht="72.75" customHeight="1" x14ac:dyDescent="0.25">
      <c r="A67" s="99" t="s">
        <v>43</v>
      </c>
      <c r="B67" s="99" t="s">
        <v>44</v>
      </c>
      <c r="C67" s="99" t="s">
        <v>45</v>
      </c>
      <c r="D67" s="99" t="s">
        <v>46</v>
      </c>
      <c r="E67" s="99" t="s">
        <v>47</v>
      </c>
      <c r="F67" s="99" t="s">
        <v>326</v>
      </c>
      <c r="G67" s="99" t="s">
        <v>49</v>
      </c>
      <c r="H67" s="99" t="s">
        <v>50</v>
      </c>
      <c r="I67" s="100" t="s">
        <v>51</v>
      </c>
      <c r="J67" s="120" t="s">
        <v>52</v>
      </c>
      <c r="K67" s="120" t="s">
        <v>327</v>
      </c>
      <c r="L67" s="120" t="s">
        <v>328</v>
      </c>
      <c r="M67" s="120" t="s">
        <v>329</v>
      </c>
      <c r="N67" s="120" t="s">
        <v>74</v>
      </c>
      <c r="O67" s="120"/>
      <c r="P67" s="121">
        <v>0.65</v>
      </c>
      <c r="Q67" s="495"/>
      <c r="R67" s="496"/>
      <c r="S67" s="496"/>
      <c r="T67" s="496"/>
      <c r="U67" s="497"/>
      <c r="V67" s="101">
        <v>1089864536</v>
      </c>
      <c r="W67" s="101">
        <v>64326892613</v>
      </c>
      <c r="X67" s="74" t="s">
        <v>330</v>
      </c>
      <c r="Y67" s="76">
        <f>(50/53)</f>
        <v>0.94339622641509435</v>
      </c>
      <c r="Z67" s="85">
        <f t="shared" ref="Z67:Z72" si="14">+P67</f>
        <v>0.65</v>
      </c>
      <c r="AA67" s="76">
        <f t="shared" ref="AA67:AA72" si="15">+Y67/Z67</f>
        <v>1.4513788098693758</v>
      </c>
      <c r="AB67" s="74" t="s">
        <v>331</v>
      </c>
      <c r="AC67" s="601"/>
      <c r="AD67" s="601"/>
      <c r="AE67" s="601"/>
      <c r="AF67" s="601"/>
      <c r="AG67" s="78">
        <v>0.97029702970297027</v>
      </c>
      <c r="AH67" s="86">
        <v>0.65</v>
      </c>
      <c r="AI67" s="78">
        <v>1.4927646610814926</v>
      </c>
      <c r="AJ67" s="77" t="s">
        <v>332</v>
      </c>
      <c r="AK67" s="604"/>
      <c r="AL67" s="604"/>
      <c r="AM67" s="604"/>
      <c r="AN67" s="604"/>
      <c r="AO67" s="122">
        <v>0.95</v>
      </c>
      <c r="AP67" s="121">
        <f t="shared" ref="AP67:AP72" si="16">+P67</f>
        <v>0.65</v>
      </c>
      <c r="AQ67" s="123">
        <f t="shared" ref="AQ67:AQ72" si="17">+AO67/AP67</f>
        <v>1.4615384615384615</v>
      </c>
      <c r="AR67" s="124" t="s">
        <v>333</v>
      </c>
      <c r="AS67" s="601"/>
      <c r="AT67" s="601"/>
      <c r="AU67" s="601"/>
      <c r="AV67" s="601"/>
    </row>
    <row r="68" spans="1:708" ht="56.25" customHeight="1" x14ac:dyDescent="0.25">
      <c r="A68" s="96" t="s">
        <v>43</v>
      </c>
      <c r="B68" s="96" t="s">
        <v>44</v>
      </c>
      <c r="C68" s="96" t="s">
        <v>45</v>
      </c>
      <c r="D68" s="96" t="s">
        <v>46</v>
      </c>
      <c r="E68" s="96" t="s">
        <v>71</v>
      </c>
      <c r="F68" s="96" t="s">
        <v>48</v>
      </c>
      <c r="G68" s="96" t="s">
        <v>49</v>
      </c>
      <c r="H68" s="96" t="s">
        <v>50</v>
      </c>
      <c r="I68" s="96" t="s">
        <v>51</v>
      </c>
      <c r="J68" s="120" t="s">
        <v>52</v>
      </c>
      <c r="K68" s="120" t="s">
        <v>327</v>
      </c>
      <c r="L68" s="120" t="s">
        <v>334</v>
      </c>
      <c r="M68" s="120" t="s">
        <v>335</v>
      </c>
      <c r="N68" s="120" t="s">
        <v>74</v>
      </c>
      <c r="O68" s="120"/>
      <c r="P68" s="121">
        <v>0.65</v>
      </c>
      <c r="Q68" s="495"/>
      <c r="R68" s="496"/>
      <c r="S68" s="496"/>
      <c r="T68" s="496"/>
      <c r="U68" s="497"/>
      <c r="V68" s="97">
        <v>420290007</v>
      </c>
      <c r="W68" s="97">
        <v>64326892613</v>
      </c>
      <c r="X68" s="67" t="s">
        <v>330</v>
      </c>
      <c r="Y68" s="90">
        <f>(115/182)</f>
        <v>0.63186813186813184</v>
      </c>
      <c r="Z68" s="125">
        <f t="shared" si="14"/>
        <v>0.65</v>
      </c>
      <c r="AA68" s="90">
        <f t="shared" si="15"/>
        <v>0.97210481825866435</v>
      </c>
      <c r="AB68" s="67" t="s">
        <v>336</v>
      </c>
      <c r="AC68" s="602"/>
      <c r="AD68" s="602"/>
      <c r="AE68" s="602"/>
      <c r="AF68" s="602"/>
      <c r="AG68" s="92">
        <v>0.66343825665859568</v>
      </c>
      <c r="AH68" s="126">
        <v>0.65</v>
      </c>
      <c r="AI68" s="92">
        <v>1.0206742410132241</v>
      </c>
      <c r="AJ68" s="69" t="s">
        <v>337</v>
      </c>
      <c r="AK68" s="603"/>
      <c r="AL68" s="603"/>
      <c r="AM68" s="603"/>
      <c r="AN68" s="603"/>
      <c r="AO68" s="127">
        <v>0.73</v>
      </c>
      <c r="AP68" s="128">
        <f t="shared" si="16"/>
        <v>0.65</v>
      </c>
      <c r="AQ68" s="129">
        <f t="shared" si="17"/>
        <v>1.1230769230769231</v>
      </c>
      <c r="AR68" s="124" t="s">
        <v>338</v>
      </c>
      <c r="AS68" s="602"/>
      <c r="AT68" s="602"/>
      <c r="AU68" s="602"/>
      <c r="AV68" s="602"/>
    </row>
    <row r="69" spans="1:708" ht="78" customHeight="1" x14ac:dyDescent="0.25">
      <c r="A69" s="99" t="s">
        <v>43</v>
      </c>
      <c r="B69" s="99" t="s">
        <v>44</v>
      </c>
      <c r="C69" s="99" t="s">
        <v>45</v>
      </c>
      <c r="D69" s="99" t="s">
        <v>46</v>
      </c>
      <c r="E69" s="99" t="s">
        <v>71</v>
      </c>
      <c r="F69" s="99" t="s">
        <v>48</v>
      </c>
      <c r="G69" s="99" t="s">
        <v>49</v>
      </c>
      <c r="H69" s="99" t="s">
        <v>50</v>
      </c>
      <c r="I69" s="100" t="s">
        <v>51</v>
      </c>
      <c r="J69" s="120" t="s">
        <v>52</v>
      </c>
      <c r="K69" s="120" t="s">
        <v>327</v>
      </c>
      <c r="L69" s="120" t="s">
        <v>339</v>
      </c>
      <c r="M69" s="120" t="s">
        <v>340</v>
      </c>
      <c r="N69" s="120" t="s">
        <v>74</v>
      </c>
      <c r="O69" s="120"/>
      <c r="P69" s="121">
        <v>0.5</v>
      </c>
      <c r="Q69" s="495"/>
      <c r="R69" s="496"/>
      <c r="S69" s="496"/>
      <c r="T69" s="496"/>
      <c r="U69" s="497"/>
      <c r="V69" s="101">
        <v>324570004</v>
      </c>
      <c r="W69" s="101">
        <v>64326892613</v>
      </c>
      <c r="X69" s="74" t="s">
        <v>330</v>
      </c>
      <c r="Y69" s="76">
        <v>0.2727</v>
      </c>
      <c r="Z69" s="85">
        <f t="shared" si="14"/>
        <v>0.5</v>
      </c>
      <c r="AA69" s="76">
        <f t="shared" si="15"/>
        <v>0.5454</v>
      </c>
      <c r="AB69" s="74" t="s">
        <v>341</v>
      </c>
      <c r="AC69" s="601"/>
      <c r="AD69" s="601"/>
      <c r="AE69" s="601"/>
      <c r="AF69" s="601"/>
      <c r="AG69" s="78">
        <v>0.41176470588235292</v>
      </c>
      <c r="AH69" s="86">
        <v>0.5</v>
      </c>
      <c r="AI69" s="78">
        <v>0.82352941176470584</v>
      </c>
      <c r="AJ69" s="77" t="s">
        <v>342</v>
      </c>
      <c r="AK69" s="604"/>
      <c r="AL69" s="604"/>
      <c r="AM69" s="604"/>
      <c r="AN69" s="604"/>
      <c r="AO69" s="122">
        <v>0.54</v>
      </c>
      <c r="AP69" s="121">
        <f t="shared" si="16"/>
        <v>0.5</v>
      </c>
      <c r="AQ69" s="123">
        <f t="shared" si="17"/>
        <v>1.08</v>
      </c>
      <c r="AR69" s="124" t="s">
        <v>343</v>
      </c>
      <c r="AS69" s="601"/>
      <c r="AT69" s="601"/>
      <c r="AU69" s="601"/>
      <c r="AV69" s="601"/>
    </row>
    <row r="70" spans="1:708" ht="90.75" customHeight="1" x14ac:dyDescent="0.25">
      <c r="A70" s="96" t="s">
        <v>43</v>
      </c>
      <c r="B70" s="96" t="s">
        <v>44</v>
      </c>
      <c r="C70" s="96" t="s">
        <v>45</v>
      </c>
      <c r="D70" s="96" t="s">
        <v>46</v>
      </c>
      <c r="E70" s="96" t="s">
        <v>71</v>
      </c>
      <c r="F70" s="96" t="s">
        <v>48</v>
      </c>
      <c r="G70" s="96" t="s">
        <v>49</v>
      </c>
      <c r="H70" s="96" t="s">
        <v>50</v>
      </c>
      <c r="I70" s="96" t="s">
        <v>51</v>
      </c>
      <c r="J70" s="120" t="s">
        <v>52</v>
      </c>
      <c r="K70" s="120" t="s">
        <v>327</v>
      </c>
      <c r="L70" s="120" t="s">
        <v>344</v>
      </c>
      <c r="M70" s="120" t="s">
        <v>345</v>
      </c>
      <c r="N70" s="120" t="s">
        <v>74</v>
      </c>
      <c r="O70" s="120"/>
      <c r="P70" s="121">
        <v>0.65</v>
      </c>
      <c r="Q70" s="495"/>
      <c r="R70" s="496"/>
      <c r="S70" s="496"/>
      <c r="T70" s="496"/>
      <c r="U70" s="497"/>
      <c r="V70" s="97">
        <v>121949226</v>
      </c>
      <c r="W70" s="97">
        <v>64326892613</v>
      </c>
      <c r="X70" s="67" t="s">
        <v>330</v>
      </c>
      <c r="Y70" s="90">
        <v>0.68179999999999996</v>
      </c>
      <c r="Z70" s="125">
        <f t="shared" si="14"/>
        <v>0.65</v>
      </c>
      <c r="AA70" s="90">
        <f t="shared" si="15"/>
        <v>1.0489230769230768</v>
      </c>
      <c r="AB70" s="67" t="s">
        <v>346</v>
      </c>
      <c r="AC70" s="602"/>
      <c r="AD70" s="602"/>
      <c r="AE70" s="602"/>
      <c r="AF70" s="602"/>
      <c r="AG70" s="92">
        <v>0.75</v>
      </c>
      <c r="AH70" s="126">
        <v>0.65</v>
      </c>
      <c r="AI70" s="92">
        <v>1.1538461538461537</v>
      </c>
      <c r="AJ70" s="69" t="s">
        <v>347</v>
      </c>
      <c r="AK70" s="603"/>
      <c r="AL70" s="603"/>
      <c r="AM70" s="603"/>
      <c r="AN70" s="603"/>
      <c r="AO70" s="127">
        <v>0.82</v>
      </c>
      <c r="AP70" s="128">
        <f t="shared" si="16"/>
        <v>0.65</v>
      </c>
      <c r="AQ70" s="129">
        <f t="shared" si="17"/>
        <v>1.2615384615384615</v>
      </c>
      <c r="AR70" s="124" t="s">
        <v>348</v>
      </c>
      <c r="AS70" s="602"/>
      <c r="AT70" s="602"/>
      <c r="AU70" s="602"/>
      <c r="AV70" s="602"/>
    </row>
    <row r="71" spans="1:708" ht="72" customHeight="1" x14ac:dyDescent="0.25">
      <c r="A71" s="99" t="s">
        <v>43</v>
      </c>
      <c r="B71" s="99" t="s">
        <v>44</v>
      </c>
      <c r="C71" s="99" t="s">
        <v>45</v>
      </c>
      <c r="D71" s="99" t="s">
        <v>349</v>
      </c>
      <c r="E71" s="99" t="s">
        <v>47</v>
      </c>
      <c r="F71" s="99" t="s">
        <v>350</v>
      </c>
      <c r="G71" s="99" t="s">
        <v>49</v>
      </c>
      <c r="H71" s="99" t="s">
        <v>50</v>
      </c>
      <c r="I71" s="100" t="s">
        <v>51</v>
      </c>
      <c r="J71" s="120" t="s">
        <v>52</v>
      </c>
      <c r="K71" s="120" t="s">
        <v>327</v>
      </c>
      <c r="L71" s="120" t="s">
        <v>351</v>
      </c>
      <c r="M71" s="120" t="s">
        <v>352</v>
      </c>
      <c r="N71" s="120" t="s">
        <v>74</v>
      </c>
      <c r="O71" s="120"/>
      <c r="P71" s="121">
        <v>0.8</v>
      </c>
      <c r="Q71" s="495"/>
      <c r="R71" s="496"/>
      <c r="S71" s="496"/>
      <c r="T71" s="496"/>
      <c r="U71" s="497"/>
      <c r="V71" s="101">
        <v>680089988</v>
      </c>
      <c r="W71" s="101">
        <v>64326892613</v>
      </c>
      <c r="X71" s="74" t="s">
        <v>330</v>
      </c>
      <c r="Y71" s="130">
        <f>(42/43)</f>
        <v>0.97674418604651159</v>
      </c>
      <c r="Z71" s="85">
        <f t="shared" si="14"/>
        <v>0.8</v>
      </c>
      <c r="AA71" s="76">
        <f t="shared" si="15"/>
        <v>1.2209302325581395</v>
      </c>
      <c r="AB71" s="74" t="s">
        <v>353</v>
      </c>
      <c r="AC71" s="601"/>
      <c r="AD71" s="601"/>
      <c r="AE71" s="601"/>
      <c r="AF71" s="601"/>
      <c r="AG71" s="131">
        <v>1</v>
      </c>
      <c r="AH71" s="86">
        <v>0.8</v>
      </c>
      <c r="AI71" s="78">
        <v>1.25</v>
      </c>
      <c r="AJ71" s="77" t="s">
        <v>354</v>
      </c>
      <c r="AK71" s="604"/>
      <c r="AL71" s="604"/>
      <c r="AM71" s="604"/>
      <c r="AN71" s="604"/>
      <c r="AO71" s="132">
        <v>0.99</v>
      </c>
      <c r="AP71" s="121">
        <f t="shared" si="16"/>
        <v>0.8</v>
      </c>
      <c r="AQ71" s="123">
        <f>+AO71/AP71</f>
        <v>1.2374999999999998</v>
      </c>
      <c r="AR71" s="124" t="s">
        <v>355</v>
      </c>
      <c r="AS71" s="601"/>
      <c r="AT71" s="601"/>
      <c r="AU71" s="601"/>
      <c r="AV71" s="601"/>
    </row>
    <row r="72" spans="1:708" ht="72" customHeight="1" x14ac:dyDescent="0.25">
      <c r="A72" s="96" t="s">
        <v>43</v>
      </c>
      <c r="B72" s="96" t="s">
        <v>44</v>
      </c>
      <c r="C72" s="96" t="s">
        <v>45</v>
      </c>
      <c r="D72" s="96" t="s">
        <v>349</v>
      </c>
      <c r="E72" s="96" t="s">
        <v>71</v>
      </c>
      <c r="F72" s="96" t="s">
        <v>48</v>
      </c>
      <c r="G72" s="96" t="s">
        <v>49</v>
      </c>
      <c r="H72" s="96" t="s">
        <v>50</v>
      </c>
      <c r="I72" s="96" t="s">
        <v>51</v>
      </c>
      <c r="J72" s="120" t="s">
        <v>52</v>
      </c>
      <c r="K72" s="120" t="s">
        <v>327</v>
      </c>
      <c r="L72" s="120" t="s">
        <v>356</v>
      </c>
      <c r="M72" s="120" t="s">
        <v>357</v>
      </c>
      <c r="N72" s="120" t="s">
        <v>74</v>
      </c>
      <c r="O72" s="120"/>
      <c r="P72" s="121">
        <v>0.8</v>
      </c>
      <c r="Q72" s="495"/>
      <c r="R72" s="496"/>
      <c r="S72" s="496"/>
      <c r="T72" s="496"/>
      <c r="U72" s="497"/>
      <c r="V72" s="97">
        <v>623360902</v>
      </c>
      <c r="W72" s="97">
        <v>64326892613</v>
      </c>
      <c r="X72" s="67" t="s">
        <v>330</v>
      </c>
      <c r="Y72" s="90">
        <f>(68/68)</f>
        <v>1</v>
      </c>
      <c r="Z72" s="125">
        <f t="shared" si="14"/>
        <v>0.8</v>
      </c>
      <c r="AA72" s="90">
        <f t="shared" si="15"/>
        <v>1.25</v>
      </c>
      <c r="AB72" s="67" t="s">
        <v>358</v>
      </c>
      <c r="AC72" s="602"/>
      <c r="AD72" s="602"/>
      <c r="AE72" s="602"/>
      <c r="AF72" s="602"/>
      <c r="AG72" s="133">
        <v>0.9719626168224299</v>
      </c>
      <c r="AH72" s="126">
        <v>0.8</v>
      </c>
      <c r="AI72" s="92">
        <v>1.2149532710280373</v>
      </c>
      <c r="AJ72" s="69" t="s">
        <v>359</v>
      </c>
      <c r="AK72" s="603"/>
      <c r="AL72" s="603"/>
      <c r="AM72" s="603"/>
      <c r="AN72" s="603"/>
      <c r="AO72" s="127">
        <v>0.98</v>
      </c>
      <c r="AP72" s="128">
        <f t="shared" si="16"/>
        <v>0.8</v>
      </c>
      <c r="AQ72" s="129">
        <f t="shared" si="17"/>
        <v>1.2249999999999999</v>
      </c>
      <c r="AR72" s="124" t="s">
        <v>360</v>
      </c>
      <c r="AS72" s="602"/>
      <c r="AT72" s="602"/>
      <c r="AU72" s="602"/>
      <c r="AV72" s="602"/>
      <c r="AX72" s="134"/>
    </row>
    <row r="73" spans="1:708" s="22" customFormat="1" ht="70.5" customHeight="1" x14ac:dyDescent="0.25">
      <c r="A73" s="55"/>
      <c r="B73" s="55"/>
      <c r="C73" s="55"/>
      <c r="D73" s="55"/>
      <c r="E73" s="55"/>
      <c r="F73" s="55"/>
      <c r="G73" s="55"/>
      <c r="H73" s="55"/>
      <c r="I73" s="55"/>
      <c r="J73" s="55"/>
      <c r="K73" s="55"/>
      <c r="L73" s="55"/>
      <c r="M73" s="55"/>
      <c r="N73" s="55"/>
      <c r="O73" s="55"/>
      <c r="P73" s="56"/>
      <c r="Q73" s="55"/>
      <c r="R73" s="55"/>
      <c r="S73" s="56"/>
      <c r="T73" s="55"/>
      <c r="U73" s="55"/>
      <c r="V73" s="95"/>
      <c r="W73" s="95"/>
      <c r="X73" s="55"/>
      <c r="Y73" s="388" t="s">
        <v>99</v>
      </c>
      <c r="Z73" s="388"/>
      <c r="AA73" s="58">
        <f>AVERAGE(AA67:AA72)</f>
        <v>1.0814561562682095</v>
      </c>
      <c r="AB73" s="59"/>
      <c r="AC73" s="388" t="s">
        <v>100</v>
      </c>
      <c r="AD73" s="388"/>
      <c r="AE73" s="60" t="s">
        <v>283</v>
      </c>
      <c r="AF73" s="61"/>
      <c r="AG73" s="564" t="s">
        <v>99</v>
      </c>
      <c r="AH73" s="564"/>
      <c r="AI73" s="62">
        <v>1.1592946231222687</v>
      </c>
      <c r="AJ73" s="63"/>
      <c r="AK73" s="564" t="s">
        <v>100</v>
      </c>
      <c r="AL73" s="564"/>
      <c r="AM73" s="64" t="s">
        <v>283</v>
      </c>
      <c r="AN73" s="65"/>
      <c r="AO73" s="388" t="s">
        <v>99</v>
      </c>
      <c r="AP73" s="388"/>
      <c r="AQ73" s="58">
        <f>AVERAGE(AQ67:AQ72)</f>
        <v>1.2314423076923076</v>
      </c>
      <c r="AR73" s="59"/>
      <c r="AS73" s="388" t="s">
        <v>100</v>
      </c>
      <c r="AT73" s="388"/>
      <c r="AU73" s="60" t="s">
        <v>283</v>
      </c>
      <c r="AV73" s="6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c r="DG73" s="21"/>
      <c r="DH73" s="21"/>
      <c r="DI73" s="21"/>
      <c r="DJ73" s="21"/>
      <c r="DK73" s="21"/>
      <c r="DL73" s="21"/>
      <c r="DM73" s="21"/>
      <c r="DN73" s="21"/>
      <c r="DO73" s="21"/>
      <c r="DP73" s="21"/>
      <c r="DQ73" s="21"/>
      <c r="DR73" s="21"/>
      <c r="DS73" s="21"/>
      <c r="DT73" s="21"/>
      <c r="DU73" s="21"/>
      <c r="DV73" s="21"/>
      <c r="DW73" s="21"/>
      <c r="DX73" s="21"/>
      <c r="DY73" s="21"/>
      <c r="DZ73" s="21"/>
      <c r="EA73" s="21"/>
      <c r="EB73" s="21"/>
      <c r="EC73" s="21"/>
      <c r="ED73" s="21"/>
      <c r="EE73" s="21"/>
      <c r="EF73" s="21"/>
      <c r="EG73" s="21"/>
      <c r="EH73" s="21"/>
      <c r="EI73" s="21"/>
      <c r="EJ73" s="21"/>
      <c r="EK73" s="21"/>
      <c r="EL73" s="21"/>
      <c r="EM73" s="21"/>
      <c r="EN73" s="21"/>
      <c r="EO73" s="21"/>
      <c r="EP73" s="21"/>
      <c r="EQ73" s="21"/>
      <c r="ER73" s="21"/>
      <c r="ES73" s="21"/>
      <c r="ET73" s="21"/>
      <c r="EU73" s="21"/>
      <c r="EV73" s="21"/>
      <c r="EW73" s="21"/>
      <c r="EX73" s="21"/>
      <c r="EY73" s="21"/>
      <c r="EZ73" s="21"/>
      <c r="FA73" s="21"/>
      <c r="FB73" s="21"/>
      <c r="FC73" s="21"/>
      <c r="FD73" s="21"/>
      <c r="FE73" s="21"/>
      <c r="FF73" s="21"/>
      <c r="FG73" s="21"/>
      <c r="FH73" s="21"/>
      <c r="FI73" s="21"/>
      <c r="FJ73" s="21"/>
      <c r="FK73" s="21"/>
      <c r="FL73" s="21"/>
      <c r="FM73" s="21"/>
      <c r="FN73" s="21"/>
      <c r="FO73" s="21"/>
      <c r="FP73" s="21"/>
      <c r="FQ73" s="21"/>
      <c r="FR73" s="21"/>
      <c r="FS73" s="21"/>
      <c r="FT73" s="21"/>
      <c r="FU73" s="21"/>
      <c r="FV73" s="21"/>
      <c r="FW73" s="21"/>
      <c r="FX73" s="21"/>
      <c r="FY73" s="21"/>
      <c r="FZ73" s="21"/>
      <c r="GA73" s="21"/>
      <c r="GB73" s="21"/>
      <c r="GC73" s="21"/>
      <c r="GD73" s="21"/>
      <c r="GE73" s="21"/>
      <c r="GF73" s="21"/>
      <c r="GG73" s="21"/>
      <c r="GH73" s="21"/>
      <c r="GI73" s="21"/>
      <c r="GJ73" s="21"/>
      <c r="GK73" s="21"/>
      <c r="GL73" s="21"/>
      <c r="GM73" s="21"/>
      <c r="GN73" s="21"/>
      <c r="GO73" s="21"/>
      <c r="GP73" s="21"/>
      <c r="GQ73" s="21"/>
      <c r="GR73" s="21"/>
      <c r="GS73" s="21"/>
      <c r="GT73" s="21"/>
      <c r="GU73" s="21"/>
      <c r="GV73" s="21"/>
      <c r="GW73" s="21"/>
      <c r="GX73" s="21"/>
      <c r="GY73" s="21"/>
      <c r="GZ73" s="21"/>
      <c r="HA73" s="21"/>
      <c r="HB73" s="21"/>
      <c r="HC73" s="21"/>
      <c r="HD73" s="21"/>
      <c r="HE73" s="21"/>
      <c r="HF73" s="21"/>
      <c r="HG73" s="21"/>
      <c r="HH73" s="21"/>
      <c r="HI73" s="21"/>
      <c r="HJ73" s="21"/>
      <c r="HK73" s="21"/>
      <c r="HL73" s="21"/>
      <c r="HM73" s="21"/>
      <c r="HN73" s="21"/>
      <c r="HO73" s="21"/>
      <c r="HP73" s="21"/>
      <c r="HQ73" s="21"/>
      <c r="HR73" s="21"/>
      <c r="HS73" s="21"/>
      <c r="HT73" s="21"/>
      <c r="HU73" s="21"/>
      <c r="HV73" s="21"/>
      <c r="HW73" s="21"/>
      <c r="HX73" s="21"/>
      <c r="HY73" s="21"/>
      <c r="HZ73" s="21"/>
      <c r="IA73" s="21"/>
      <c r="IB73" s="21"/>
      <c r="IC73" s="21"/>
      <c r="ID73" s="21"/>
      <c r="IE73" s="21"/>
      <c r="IF73" s="21"/>
      <c r="IG73" s="21"/>
      <c r="IH73" s="21"/>
      <c r="II73" s="21"/>
      <c r="IJ73" s="21"/>
      <c r="IK73" s="21"/>
      <c r="IL73" s="21"/>
      <c r="IM73" s="21"/>
      <c r="IN73" s="21"/>
      <c r="IO73" s="21"/>
      <c r="IP73" s="21"/>
      <c r="IQ73" s="21"/>
      <c r="IR73" s="21"/>
      <c r="IS73" s="21"/>
      <c r="IT73" s="21"/>
      <c r="IU73" s="21"/>
      <c r="IV73" s="21"/>
      <c r="IW73" s="21"/>
      <c r="IX73" s="21"/>
      <c r="IY73" s="21"/>
      <c r="IZ73" s="21"/>
      <c r="JA73" s="21"/>
      <c r="JB73" s="21"/>
      <c r="JC73" s="21"/>
      <c r="JD73" s="21"/>
      <c r="JE73" s="21"/>
      <c r="JF73" s="21"/>
      <c r="JG73" s="21"/>
      <c r="JH73" s="21"/>
      <c r="JI73" s="21"/>
      <c r="JJ73" s="21"/>
      <c r="JK73" s="21"/>
      <c r="JL73" s="21"/>
      <c r="JM73" s="21"/>
      <c r="JN73" s="21"/>
      <c r="JO73" s="21"/>
      <c r="JP73" s="21"/>
      <c r="JQ73" s="21"/>
      <c r="JR73" s="21"/>
      <c r="JS73" s="21"/>
      <c r="JT73" s="21"/>
      <c r="JU73" s="21"/>
      <c r="JV73" s="21"/>
      <c r="JW73" s="21"/>
      <c r="JX73" s="21"/>
      <c r="JY73" s="21"/>
      <c r="JZ73" s="21"/>
      <c r="KA73" s="21"/>
      <c r="KB73" s="21"/>
      <c r="KC73" s="21"/>
      <c r="KD73" s="21"/>
      <c r="KE73" s="21"/>
      <c r="KF73" s="21"/>
      <c r="KG73" s="21"/>
      <c r="KH73" s="21"/>
      <c r="KI73" s="21"/>
      <c r="KJ73" s="21"/>
      <c r="KK73" s="21"/>
      <c r="KL73" s="21"/>
      <c r="KM73" s="21"/>
      <c r="KN73" s="21"/>
      <c r="KO73" s="21"/>
      <c r="KP73" s="21"/>
      <c r="KQ73" s="21"/>
      <c r="KR73" s="21"/>
      <c r="KS73" s="21"/>
      <c r="KT73" s="21"/>
      <c r="KU73" s="21"/>
      <c r="KV73" s="21"/>
      <c r="KW73" s="21"/>
      <c r="KX73" s="21"/>
      <c r="KY73" s="21"/>
      <c r="KZ73" s="21"/>
      <c r="LA73" s="21"/>
      <c r="LB73" s="21"/>
      <c r="LC73" s="21"/>
      <c r="LD73" s="21"/>
      <c r="LE73" s="21"/>
      <c r="LF73" s="21"/>
      <c r="LG73" s="21"/>
      <c r="LH73" s="21"/>
      <c r="LI73" s="21"/>
      <c r="LJ73" s="21"/>
      <c r="LK73" s="21"/>
      <c r="LL73" s="21"/>
      <c r="LM73" s="21"/>
      <c r="LN73" s="21"/>
      <c r="LO73" s="21"/>
      <c r="LP73" s="21"/>
      <c r="LQ73" s="21"/>
      <c r="LR73" s="21"/>
      <c r="LS73" s="21"/>
      <c r="LT73" s="21"/>
      <c r="LU73" s="21"/>
      <c r="LV73" s="21"/>
      <c r="LW73" s="21"/>
      <c r="LX73" s="21"/>
      <c r="LY73" s="21"/>
      <c r="LZ73" s="21"/>
      <c r="MA73" s="21"/>
      <c r="MB73" s="21"/>
      <c r="MC73" s="21"/>
      <c r="MD73" s="21"/>
      <c r="ME73" s="21"/>
      <c r="MF73" s="21"/>
      <c r="MG73" s="21"/>
      <c r="MH73" s="21"/>
      <c r="MI73" s="21"/>
      <c r="MJ73" s="21"/>
      <c r="MK73" s="21"/>
      <c r="ML73" s="21"/>
      <c r="MM73" s="21"/>
      <c r="MN73" s="21"/>
      <c r="MO73" s="21"/>
      <c r="MP73" s="21"/>
      <c r="MQ73" s="21"/>
      <c r="MR73" s="21"/>
      <c r="MS73" s="21"/>
      <c r="MT73" s="21"/>
      <c r="MU73" s="21"/>
      <c r="MV73" s="21"/>
      <c r="MW73" s="21"/>
      <c r="MX73" s="21"/>
      <c r="MY73" s="21"/>
      <c r="MZ73" s="21"/>
      <c r="NA73" s="21"/>
      <c r="NB73" s="21"/>
      <c r="NC73" s="21"/>
      <c r="ND73" s="21"/>
      <c r="NE73" s="21"/>
      <c r="NF73" s="21"/>
      <c r="NG73" s="21"/>
      <c r="NH73" s="21"/>
      <c r="NI73" s="21"/>
      <c r="NJ73" s="21"/>
      <c r="NK73" s="21"/>
      <c r="NL73" s="21"/>
      <c r="NM73" s="21"/>
      <c r="NN73" s="21"/>
      <c r="NO73" s="21"/>
      <c r="NP73" s="21"/>
      <c r="NQ73" s="21"/>
      <c r="NR73" s="21"/>
      <c r="NS73" s="21"/>
      <c r="NT73" s="21"/>
      <c r="NU73" s="21"/>
      <c r="NV73" s="21"/>
      <c r="NW73" s="21"/>
      <c r="NX73" s="21"/>
      <c r="NY73" s="21"/>
      <c r="NZ73" s="21"/>
      <c r="OA73" s="21"/>
      <c r="OB73" s="21"/>
      <c r="OC73" s="21"/>
      <c r="OD73" s="21"/>
      <c r="OE73" s="21"/>
      <c r="OF73" s="21"/>
      <c r="OG73" s="21"/>
      <c r="OH73" s="21"/>
      <c r="OI73" s="21"/>
      <c r="OJ73" s="21"/>
      <c r="OK73" s="21"/>
      <c r="OL73" s="21"/>
      <c r="OM73" s="21"/>
      <c r="ON73" s="21"/>
      <c r="OO73" s="21"/>
      <c r="OP73" s="21"/>
      <c r="OQ73" s="21"/>
      <c r="OR73" s="21"/>
      <c r="OS73" s="21"/>
      <c r="OT73" s="21"/>
      <c r="OU73" s="21"/>
      <c r="OV73" s="21"/>
      <c r="OW73" s="21"/>
      <c r="OX73" s="21"/>
      <c r="OY73" s="21"/>
      <c r="OZ73" s="21"/>
      <c r="PA73" s="21"/>
      <c r="PB73" s="21"/>
      <c r="PC73" s="21"/>
      <c r="PD73" s="21"/>
      <c r="PE73" s="21"/>
      <c r="PF73" s="21"/>
      <c r="PG73" s="21"/>
      <c r="PH73" s="21"/>
      <c r="PI73" s="21"/>
      <c r="PJ73" s="21"/>
      <c r="PK73" s="21"/>
      <c r="PL73" s="21"/>
      <c r="PM73" s="21"/>
      <c r="PN73" s="21"/>
      <c r="PO73" s="21"/>
      <c r="PP73" s="21"/>
      <c r="PQ73" s="21"/>
      <c r="PR73" s="21"/>
      <c r="PS73" s="21"/>
      <c r="PT73" s="21"/>
      <c r="PU73" s="21"/>
      <c r="PV73" s="21"/>
      <c r="PW73" s="21"/>
      <c r="PX73" s="21"/>
      <c r="PY73" s="21"/>
      <c r="PZ73" s="21"/>
      <c r="QA73" s="21"/>
      <c r="QB73" s="21"/>
      <c r="QC73" s="21"/>
      <c r="QD73" s="21"/>
      <c r="QE73" s="21"/>
      <c r="QF73" s="21"/>
      <c r="QG73" s="21"/>
      <c r="QH73" s="21"/>
      <c r="QI73" s="21"/>
      <c r="QJ73" s="21"/>
      <c r="QK73" s="21"/>
      <c r="QL73" s="21"/>
      <c r="QM73" s="21"/>
      <c r="QN73" s="21"/>
      <c r="QO73" s="21"/>
      <c r="QP73" s="21"/>
      <c r="QQ73" s="21"/>
      <c r="QR73" s="21"/>
      <c r="QS73" s="21"/>
      <c r="QT73" s="21"/>
      <c r="QU73" s="21"/>
      <c r="QV73" s="21"/>
      <c r="QW73" s="21"/>
      <c r="QX73" s="21"/>
      <c r="QY73" s="21"/>
      <c r="QZ73" s="21"/>
      <c r="RA73" s="21"/>
      <c r="RB73" s="21"/>
      <c r="RC73" s="21"/>
      <c r="RD73" s="21"/>
      <c r="RE73" s="21"/>
      <c r="RF73" s="21"/>
      <c r="RG73" s="21"/>
      <c r="RH73" s="21"/>
      <c r="RI73" s="21"/>
      <c r="RJ73" s="21"/>
      <c r="RK73" s="21"/>
      <c r="RL73" s="21"/>
      <c r="RM73" s="21"/>
      <c r="RN73" s="21"/>
      <c r="RO73" s="21"/>
      <c r="RP73" s="21"/>
      <c r="RQ73" s="21"/>
      <c r="RR73" s="21"/>
      <c r="RS73" s="21"/>
      <c r="RT73" s="21"/>
      <c r="RU73" s="21"/>
      <c r="RV73" s="21"/>
      <c r="RW73" s="21"/>
      <c r="RX73" s="21"/>
      <c r="RY73" s="21"/>
      <c r="RZ73" s="21"/>
      <c r="SA73" s="21"/>
      <c r="SB73" s="21"/>
      <c r="SC73" s="21"/>
      <c r="SD73" s="21"/>
      <c r="SE73" s="21"/>
      <c r="SF73" s="21"/>
      <c r="SG73" s="21"/>
      <c r="SH73" s="21"/>
      <c r="SI73" s="21"/>
      <c r="SJ73" s="21"/>
      <c r="SK73" s="21"/>
      <c r="SL73" s="21"/>
      <c r="SM73" s="21"/>
      <c r="SN73" s="21"/>
      <c r="SO73" s="21"/>
      <c r="SP73" s="21"/>
      <c r="SQ73" s="21"/>
      <c r="SR73" s="21"/>
      <c r="SS73" s="21"/>
      <c r="ST73" s="21"/>
      <c r="SU73" s="21"/>
      <c r="SV73" s="21"/>
      <c r="SW73" s="21"/>
      <c r="SX73" s="21"/>
      <c r="SY73" s="21"/>
      <c r="SZ73" s="21"/>
      <c r="TA73" s="21"/>
      <c r="TB73" s="21"/>
      <c r="TC73" s="21"/>
      <c r="TD73" s="21"/>
      <c r="TE73" s="21"/>
      <c r="TF73" s="21"/>
      <c r="TG73" s="21"/>
      <c r="TH73" s="21"/>
      <c r="TI73" s="21"/>
      <c r="TJ73" s="21"/>
      <c r="TK73" s="21"/>
      <c r="TL73" s="21"/>
      <c r="TM73" s="21"/>
      <c r="TN73" s="21"/>
      <c r="TO73" s="21"/>
      <c r="TP73" s="21"/>
      <c r="TQ73" s="21"/>
      <c r="TR73" s="21"/>
      <c r="TS73" s="21"/>
      <c r="TT73" s="21"/>
      <c r="TU73" s="21"/>
      <c r="TV73" s="21"/>
      <c r="TW73" s="21"/>
      <c r="TX73" s="21"/>
      <c r="TY73" s="21"/>
      <c r="TZ73" s="21"/>
      <c r="UA73" s="21"/>
      <c r="UB73" s="21"/>
      <c r="UC73" s="21"/>
      <c r="UD73" s="21"/>
      <c r="UE73" s="21"/>
      <c r="UF73" s="21"/>
      <c r="UG73" s="21"/>
      <c r="UH73" s="21"/>
      <c r="UI73" s="21"/>
      <c r="UJ73" s="21"/>
      <c r="UK73" s="21"/>
      <c r="UL73" s="21"/>
      <c r="UM73" s="21"/>
      <c r="UN73" s="21"/>
      <c r="UO73" s="21"/>
      <c r="UP73" s="21"/>
      <c r="UQ73" s="21"/>
      <c r="UR73" s="21"/>
      <c r="US73" s="21"/>
      <c r="UT73" s="21"/>
      <c r="UU73" s="21"/>
      <c r="UV73" s="21"/>
      <c r="UW73" s="21"/>
      <c r="UX73" s="21"/>
      <c r="UY73" s="21"/>
      <c r="UZ73" s="21"/>
      <c r="VA73" s="21"/>
      <c r="VB73" s="21"/>
      <c r="VC73" s="21"/>
      <c r="VD73" s="21"/>
      <c r="VE73" s="21"/>
      <c r="VF73" s="21"/>
      <c r="VG73" s="21"/>
      <c r="VH73" s="21"/>
      <c r="VI73" s="21"/>
      <c r="VJ73" s="21"/>
      <c r="VK73" s="21"/>
      <c r="VL73" s="21"/>
      <c r="VM73" s="21"/>
      <c r="VN73" s="21"/>
      <c r="VO73" s="21"/>
      <c r="VP73" s="21"/>
      <c r="VQ73" s="21"/>
      <c r="VR73" s="21"/>
      <c r="VS73" s="21"/>
      <c r="VT73" s="21"/>
      <c r="VU73" s="21"/>
      <c r="VV73" s="21"/>
      <c r="VW73" s="21"/>
      <c r="VX73" s="21"/>
      <c r="VY73" s="21"/>
      <c r="VZ73" s="21"/>
      <c r="WA73" s="21"/>
      <c r="WB73" s="21"/>
      <c r="WC73" s="21"/>
      <c r="WD73" s="21"/>
      <c r="WE73" s="21"/>
      <c r="WF73" s="21"/>
      <c r="WG73" s="21"/>
      <c r="WH73" s="21"/>
      <c r="WI73" s="21"/>
      <c r="WJ73" s="21"/>
      <c r="WK73" s="21"/>
      <c r="WL73" s="21"/>
      <c r="WM73" s="21"/>
      <c r="WN73" s="21"/>
      <c r="WO73" s="21"/>
      <c r="WP73" s="21"/>
      <c r="WQ73" s="21"/>
      <c r="WR73" s="21"/>
      <c r="WS73" s="21"/>
      <c r="WT73" s="21"/>
      <c r="WU73" s="21"/>
      <c r="WV73" s="21"/>
      <c r="WW73" s="21"/>
      <c r="WX73" s="21"/>
      <c r="WY73" s="21"/>
      <c r="WZ73" s="21"/>
      <c r="XA73" s="21"/>
      <c r="XB73" s="21"/>
      <c r="XC73" s="21"/>
      <c r="XD73" s="21"/>
      <c r="XE73" s="21"/>
      <c r="XF73" s="21"/>
      <c r="XG73" s="21"/>
      <c r="XH73" s="21"/>
      <c r="XI73" s="21"/>
      <c r="XJ73" s="21"/>
      <c r="XK73" s="21"/>
      <c r="XL73" s="21"/>
      <c r="XM73" s="21"/>
      <c r="XN73" s="21"/>
      <c r="XO73" s="21"/>
      <c r="XP73" s="21"/>
      <c r="XQ73" s="21"/>
      <c r="XR73" s="21"/>
      <c r="XS73" s="21"/>
      <c r="XT73" s="21"/>
      <c r="XU73" s="21"/>
      <c r="XV73" s="21"/>
      <c r="XW73" s="21"/>
      <c r="XX73" s="21"/>
      <c r="XY73" s="21"/>
      <c r="XZ73" s="21"/>
      <c r="YA73" s="21"/>
      <c r="YB73" s="21"/>
      <c r="YC73" s="21"/>
      <c r="YD73" s="21"/>
      <c r="YE73" s="21"/>
      <c r="YF73" s="21"/>
      <c r="YG73" s="21"/>
      <c r="YH73" s="21"/>
      <c r="YI73" s="21"/>
      <c r="YJ73" s="21"/>
      <c r="YK73" s="21"/>
      <c r="YL73" s="21"/>
      <c r="YM73" s="21"/>
      <c r="YN73" s="21"/>
      <c r="YO73" s="21"/>
      <c r="YP73" s="21"/>
      <c r="YQ73" s="21"/>
      <c r="YR73" s="21"/>
      <c r="YS73" s="21"/>
      <c r="YT73" s="21"/>
      <c r="YU73" s="21"/>
      <c r="YV73" s="21"/>
      <c r="YW73" s="21"/>
      <c r="YX73" s="21"/>
      <c r="YY73" s="21"/>
      <c r="YZ73" s="21"/>
      <c r="ZA73" s="21"/>
      <c r="ZB73" s="21"/>
      <c r="ZC73" s="21"/>
      <c r="ZD73" s="21"/>
      <c r="ZE73" s="21"/>
      <c r="ZF73" s="21"/>
      <c r="ZG73" s="21"/>
      <c r="ZH73" s="21"/>
      <c r="ZI73" s="21"/>
      <c r="ZJ73" s="21"/>
      <c r="ZK73" s="21"/>
      <c r="ZL73" s="21"/>
      <c r="ZM73" s="21"/>
      <c r="ZN73" s="21"/>
      <c r="ZO73" s="21"/>
      <c r="ZP73" s="21"/>
      <c r="ZQ73" s="21"/>
      <c r="ZR73" s="21"/>
      <c r="ZS73" s="21"/>
      <c r="ZT73" s="21"/>
      <c r="ZU73" s="21"/>
      <c r="ZV73" s="21"/>
      <c r="ZW73" s="21"/>
      <c r="ZX73" s="21"/>
      <c r="ZY73" s="21"/>
      <c r="ZZ73" s="21"/>
      <c r="AAA73" s="21"/>
      <c r="AAB73" s="21"/>
      <c r="AAC73" s="21"/>
      <c r="AAD73" s="21"/>
      <c r="AAE73" s="21"/>
      <c r="AAF73" s="21"/>
    </row>
    <row r="74" spans="1:708" ht="81.75" customHeight="1" x14ac:dyDescent="0.25">
      <c r="A74" s="99" t="s">
        <v>43</v>
      </c>
      <c r="B74" s="99" t="s">
        <v>44</v>
      </c>
      <c r="C74" s="99" t="s">
        <v>45</v>
      </c>
      <c r="D74" s="99" t="s">
        <v>46</v>
      </c>
      <c r="E74" s="99" t="s">
        <v>71</v>
      </c>
      <c r="F74" s="99" t="s">
        <v>48</v>
      </c>
      <c r="G74" s="99" t="s">
        <v>49</v>
      </c>
      <c r="H74" s="99" t="s">
        <v>50</v>
      </c>
      <c r="I74" s="100" t="s">
        <v>51</v>
      </c>
      <c r="J74" s="74" t="s">
        <v>52</v>
      </c>
      <c r="K74" s="74" t="s">
        <v>361</v>
      </c>
      <c r="L74" s="74" t="s">
        <v>362</v>
      </c>
      <c r="M74" s="74" t="s">
        <v>363</v>
      </c>
      <c r="N74" s="74" t="s">
        <v>74</v>
      </c>
      <c r="O74" s="74"/>
      <c r="P74" s="85">
        <v>0.95</v>
      </c>
      <c r="Q74" s="601"/>
      <c r="R74" s="601"/>
      <c r="S74" s="601"/>
      <c r="T74" s="601"/>
      <c r="U74" s="601"/>
      <c r="V74" s="101">
        <v>369703970</v>
      </c>
      <c r="W74" s="101">
        <v>64326892613</v>
      </c>
      <c r="X74" s="74" t="s">
        <v>364</v>
      </c>
      <c r="Y74" s="76">
        <f>2/23</f>
        <v>8.6956521739130432E-2</v>
      </c>
      <c r="Z74" s="85">
        <f>+P74</f>
        <v>0.95</v>
      </c>
      <c r="AA74" s="76">
        <f>+Y74/Z74</f>
        <v>9.1533180778032033E-2</v>
      </c>
      <c r="AB74" s="74" t="s">
        <v>365</v>
      </c>
      <c r="AC74" s="495"/>
      <c r="AD74" s="496"/>
      <c r="AE74" s="496"/>
      <c r="AF74" s="497"/>
      <c r="AG74" s="78">
        <v>0.76923076923076927</v>
      </c>
      <c r="AH74" s="86">
        <v>0.95</v>
      </c>
      <c r="AI74" s="78">
        <v>0.80971659919028349</v>
      </c>
      <c r="AJ74" s="77" t="s">
        <v>366</v>
      </c>
      <c r="AK74" s="588"/>
      <c r="AL74" s="589"/>
      <c r="AM74" s="589"/>
      <c r="AN74" s="590"/>
      <c r="AO74" s="78">
        <f>(35/47)</f>
        <v>0.74468085106382975</v>
      </c>
      <c r="AP74" s="86">
        <v>0.95</v>
      </c>
      <c r="AQ74" s="78">
        <f>+AO74/AP74</f>
        <v>0.78387458006718924</v>
      </c>
      <c r="AR74" s="77" t="s">
        <v>367</v>
      </c>
      <c r="AS74" s="495"/>
      <c r="AT74" s="496"/>
      <c r="AU74" s="496"/>
      <c r="AV74" s="497"/>
    </row>
    <row r="75" spans="1:708" ht="73.5" customHeight="1" x14ac:dyDescent="0.25">
      <c r="A75" s="96" t="s">
        <v>43</v>
      </c>
      <c r="B75" s="96" t="s">
        <v>44</v>
      </c>
      <c r="C75" s="96" t="s">
        <v>45</v>
      </c>
      <c r="D75" s="96" t="s">
        <v>46</v>
      </c>
      <c r="E75" s="96" t="s">
        <v>71</v>
      </c>
      <c r="F75" s="96" t="s">
        <v>48</v>
      </c>
      <c r="G75" s="96" t="s">
        <v>49</v>
      </c>
      <c r="H75" s="96" t="s">
        <v>50</v>
      </c>
      <c r="I75" s="96" t="s">
        <v>51</v>
      </c>
      <c r="J75" s="67" t="s">
        <v>52</v>
      </c>
      <c r="K75" s="67" t="s">
        <v>361</v>
      </c>
      <c r="L75" s="67" t="s">
        <v>368</v>
      </c>
      <c r="M75" s="67" t="s">
        <v>369</v>
      </c>
      <c r="N75" s="67" t="s">
        <v>74</v>
      </c>
      <c r="O75" s="67"/>
      <c r="P75" s="82">
        <v>0.95</v>
      </c>
      <c r="Q75" s="601"/>
      <c r="R75" s="601"/>
      <c r="S75" s="601"/>
      <c r="T75" s="601"/>
      <c r="U75" s="601"/>
      <c r="V75" s="97">
        <v>401183836</v>
      </c>
      <c r="W75" s="97">
        <v>64326892613</v>
      </c>
      <c r="X75" s="67" t="s">
        <v>364</v>
      </c>
      <c r="Y75" s="90">
        <f>5/30</f>
        <v>0.16666666666666666</v>
      </c>
      <c r="Z75" s="125">
        <f>+P75</f>
        <v>0.95</v>
      </c>
      <c r="AA75" s="90">
        <f>+Y75/Z75</f>
        <v>0.17543859649122806</v>
      </c>
      <c r="AB75" s="67" t="s">
        <v>370</v>
      </c>
      <c r="AC75" s="605"/>
      <c r="AD75" s="606"/>
      <c r="AE75" s="606"/>
      <c r="AF75" s="607"/>
      <c r="AG75" s="92">
        <v>0.66666666666666663</v>
      </c>
      <c r="AH75" s="126">
        <v>0.95</v>
      </c>
      <c r="AI75" s="92">
        <v>0.70175438596491224</v>
      </c>
      <c r="AJ75" s="69" t="s">
        <v>371</v>
      </c>
      <c r="AK75" s="608"/>
      <c r="AL75" s="609"/>
      <c r="AM75" s="609"/>
      <c r="AN75" s="610"/>
      <c r="AO75" s="92">
        <f>(14/18)</f>
        <v>0.77777777777777779</v>
      </c>
      <c r="AP75" s="126">
        <v>0.95</v>
      </c>
      <c r="AQ75" s="92">
        <f>+AO75/AP75</f>
        <v>0.81871345029239773</v>
      </c>
      <c r="AR75" s="69" t="s">
        <v>372</v>
      </c>
      <c r="AS75" s="605"/>
      <c r="AT75" s="606"/>
      <c r="AU75" s="606"/>
      <c r="AV75" s="607"/>
    </row>
    <row r="76" spans="1:708" s="22" customFormat="1" ht="70.5" customHeight="1" x14ac:dyDescent="0.25">
      <c r="A76" s="55"/>
      <c r="B76" s="55"/>
      <c r="C76" s="55"/>
      <c r="D76" s="55"/>
      <c r="E76" s="55"/>
      <c r="F76" s="55"/>
      <c r="G76" s="55"/>
      <c r="H76" s="55"/>
      <c r="I76" s="55"/>
      <c r="J76" s="55"/>
      <c r="K76" s="55"/>
      <c r="L76" s="55"/>
      <c r="M76" s="55"/>
      <c r="N76" s="55"/>
      <c r="O76" s="55"/>
      <c r="P76" s="56"/>
      <c r="Q76" s="55"/>
      <c r="R76" s="55"/>
      <c r="S76" s="56"/>
      <c r="T76" s="55"/>
      <c r="U76" s="55"/>
      <c r="V76" s="95"/>
      <c r="W76" s="95"/>
      <c r="X76" s="55"/>
      <c r="Y76" s="388" t="s">
        <v>99</v>
      </c>
      <c r="Z76" s="388"/>
      <c r="AA76" s="58">
        <f>AVERAGE(AA74:AA75)</f>
        <v>0.13348588863463004</v>
      </c>
      <c r="AB76" s="59"/>
      <c r="AC76" s="388" t="s">
        <v>100</v>
      </c>
      <c r="AD76" s="388"/>
      <c r="AE76" s="60" t="s">
        <v>283</v>
      </c>
      <c r="AF76" s="56"/>
      <c r="AG76" s="564" t="s">
        <v>99</v>
      </c>
      <c r="AH76" s="564"/>
      <c r="AI76" s="62">
        <v>0.75573549257759787</v>
      </c>
      <c r="AJ76" s="63"/>
      <c r="AK76" s="564" t="s">
        <v>100</v>
      </c>
      <c r="AL76" s="564"/>
      <c r="AM76" s="64" t="s">
        <v>283</v>
      </c>
      <c r="AN76" s="135"/>
      <c r="AO76" s="388" t="s">
        <v>99</v>
      </c>
      <c r="AP76" s="388"/>
      <c r="AQ76" s="58">
        <f>AVERAGE(AQ74:AQ75)</f>
        <v>0.80129401517979348</v>
      </c>
      <c r="AR76" s="59"/>
      <c r="AS76" s="388" t="s">
        <v>100</v>
      </c>
      <c r="AT76" s="388"/>
      <c r="AU76" s="60" t="s">
        <v>283</v>
      </c>
      <c r="AV76" s="56"/>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c r="DB76" s="21"/>
      <c r="DC76" s="21"/>
      <c r="DD76" s="21"/>
      <c r="DE76" s="21"/>
      <c r="DF76" s="21"/>
      <c r="DG76" s="21"/>
      <c r="DH76" s="21"/>
      <c r="DI76" s="21"/>
      <c r="DJ76" s="21"/>
      <c r="DK76" s="21"/>
      <c r="DL76" s="21"/>
      <c r="DM76" s="21"/>
      <c r="DN76" s="21"/>
      <c r="DO76" s="21"/>
      <c r="DP76" s="21"/>
      <c r="DQ76" s="21"/>
      <c r="DR76" s="21"/>
      <c r="DS76" s="21"/>
      <c r="DT76" s="21"/>
      <c r="DU76" s="21"/>
      <c r="DV76" s="21"/>
      <c r="DW76" s="21"/>
      <c r="DX76" s="21"/>
      <c r="DY76" s="21"/>
      <c r="DZ76" s="21"/>
      <c r="EA76" s="21"/>
      <c r="EB76" s="21"/>
      <c r="EC76" s="21"/>
      <c r="ED76" s="21"/>
      <c r="EE76" s="21"/>
      <c r="EF76" s="21"/>
      <c r="EG76" s="21"/>
      <c r="EH76" s="21"/>
      <c r="EI76" s="21"/>
      <c r="EJ76" s="21"/>
      <c r="EK76" s="21"/>
      <c r="EL76" s="21"/>
      <c r="EM76" s="21"/>
      <c r="EN76" s="21"/>
      <c r="EO76" s="21"/>
      <c r="EP76" s="21"/>
      <c r="EQ76" s="21"/>
      <c r="ER76" s="21"/>
      <c r="ES76" s="21"/>
      <c r="ET76" s="21"/>
      <c r="EU76" s="21"/>
      <c r="EV76" s="21"/>
      <c r="EW76" s="21"/>
      <c r="EX76" s="21"/>
      <c r="EY76" s="21"/>
      <c r="EZ76" s="21"/>
      <c r="FA76" s="21"/>
      <c r="FB76" s="21"/>
      <c r="FC76" s="21"/>
      <c r="FD76" s="21"/>
      <c r="FE76" s="21"/>
      <c r="FF76" s="21"/>
      <c r="FG76" s="21"/>
      <c r="FH76" s="21"/>
      <c r="FI76" s="21"/>
      <c r="FJ76" s="21"/>
      <c r="FK76" s="21"/>
      <c r="FL76" s="21"/>
      <c r="FM76" s="21"/>
      <c r="FN76" s="21"/>
      <c r="FO76" s="21"/>
      <c r="FP76" s="21"/>
      <c r="FQ76" s="21"/>
      <c r="FR76" s="21"/>
      <c r="FS76" s="21"/>
      <c r="FT76" s="21"/>
      <c r="FU76" s="21"/>
      <c r="FV76" s="21"/>
      <c r="FW76" s="21"/>
      <c r="FX76" s="21"/>
      <c r="FY76" s="21"/>
      <c r="FZ76" s="21"/>
      <c r="GA76" s="21"/>
      <c r="GB76" s="21"/>
      <c r="GC76" s="21"/>
      <c r="GD76" s="21"/>
      <c r="GE76" s="21"/>
      <c r="GF76" s="21"/>
      <c r="GG76" s="21"/>
      <c r="GH76" s="21"/>
      <c r="GI76" s="21"/>
      <c r="GJ76" s="21"/>
      <c r="GK76" s="21"/>
      <c r="GL76" s="21"/>
      <c r="GM76" s="21"/>
      <c r="GN76" s="21"/>
      <c r="GO76" s="21"/>
      <c r="GP76" s="21"/>
      <c r="GQ76" s="21"/>
      <c r="GR76" s="21"/>
      <c r="GS76" s="21"/>
      <c r="GT76" s="21"/>
      <c r="GU76" s="21"/>
      <c r="GV76" s="21"/>
      <c r="GW76" s="21"/>
      <c r="GX76" s="21"/>
      <c r="GY76" s="21"/>
      <c r="GZ76" s="21"/>
      <c r="HA76" s="21"/>
      <c r="HB76" s="21"/>
      <c r="HC76" s="21"/>
      <c r="HD76" s="21"/>
      <c r="HE76" s="21"/>
      <c r="HF76" s="21"/>
      <c r="HG76" s="21"/>
      <c r="HH76" s="21"/>
      <c r="HI76" s="21"/>
      <c r="HJ76" s="21"/>
      <c r="HK76" s="21"/>
      <c r="HL76" s="21"/>
      <c r="HM76" s="21"/>
      <c r="HN76" s="21"/>
      <c r="HO76" s="21"/>
      <c r="HP76" s="21"/>
      <c r="HQ76" s="21"/>
      <c r="HR76" s="21"/>
      <c r="HS76" s="21"/>
      <c r="HT76" s="21"/>
      <c r="HU76" s="21"/>
      <c r="HV76" s="21"/>
      <c r="HW76" s="21"/>
      <c r="HX76" s="21"/>
      <c r="HY76" s="21"/>
      <c r="HZ76" s="21"/>
      <c r="IA76" s="21"/>
      <c r="IB76" s="21"/>
      <c r="IC76" s="21"/>
      <c r="ID76" s="21"/>
      <c r="IE76" s="21"/>
      <c r="IF76" s="21"/>
      <c r="IG76" s="21"/>
      <c r="IH76" s="21"/>
      <c r="II76" s="21"/>
      <c r="IJ76" s="21"/>
      <c r="IK76" s="21"/>
      <c r="IL76" s="21"/>
      <c r="IM76" s="21"/>
      <c r="IN76" s="21"/>
      <c r="IO76" s="21"/>
      <c r="IP76" s="21"/>
      <c r="IQ76" s="21"/>
      <c r="IR76" s="21"/>
      <c r="IS76" s="21"/>
      <c r="IT76" s="21"/>
      <c r="IU76" s="21"/>
      <c r="IV76" s="21"/>
      <c r="IW76" s="21"/>
      <c r="IX76" s="21"/>
      <c r="IY76" s="21"/>
      <c r="IZ76" s="21"/>
      <c r="JA76" s="21"/>
      <c r="JB76" s="21"/>
      <c r="JC76" s="21"/>
      <c r="JD76" s="21"/>
      <c r="JE76" s="21"/>
      <c r="JF76" s="21"/>
      <c r="JG76" s="21"/>
      <c r="JH76" s="21"/>
      <c r="JI76" s="21"/>
      <c r="JJ76" s="21"/>
      <c r="JK76" s="21"/>
      <c r="JL76" s="21"/>
      <c r="JM76" s="21"/>
      <c r="JN76" s="21"/>
      <c r="JO76" s="21"/>
      <c r="JP76" s="21"/>
      <c r="JQ76" s="21"/>
      <c r="JR76" s="21"/>
      <c r="JS76" s="21"/>
      <c r="JT76" s="21"/>
      <c r="JU76" s="21"/>
      <c r="JV76" s="21"/>
      <c r="JW76" s="21"/>
      <c r="JX76" s="21"/>
      <c r="JY76" s="21"/>
      <c r="JZ76" s="21"/>
      <c r="KA76" s="21"/>
      <c r="KB76" s="21"/>
      <c r="KC76" s="21"/>
      <c r="KD76" s="21"/>
      <c r="KE76" s="21"/>
      <c r="KF76" s="21"/>
      <c r="KG76" s="21"/>
      <c r="KH76" s="21"/>
      <c r="KI76" s="21"/>
      <c r="KJ76" s="21"/>
      <c r="KK76" s="21"/>
      <c r="KL76" s="21"/>
      <c r="KM76" s="21"/>
      <c r="KN76" s="21"/>
      <c r="KO76" s="21"/>
      <c r="KP76" s="21"/>
      <c r="KQ76" s="21"/>
      <c r="KR76" s="21"/>
      <c r="KS76" s="21"/>
      <c r="KT76" s="21"/>
      <c r="KU76" s="21"/>
      <c r="KV76" s="21"/>
      <c r="KW76" s="21"/>
      <c r="KX76" s="21"/>
      <c r="KY76" s="21"/>
      <c r="KZ76" s="21"/>
      <c r="LA76" s="21"/>
      <c r="LB76" s="21"/>
      <c r="LC76" s="21"/>
      <c r="LD76" s="21"/>
      <c r="LE76" s="21"/>
      <c r="LF76" s="21"/>
      <c r="LG76" s="21"/>
      <c r="LH76" s="21"/>
      <c r="LI76" s="21"/>
      <c r="LJ76" s="21"/>
      <c r="LK76" s="21"/>
      <c r="LL76" s="21"/>
      <c r="LM76" s="21"/>
      <c r="LN76" s="21"/>
      <c r="LO76" s="21"/>
      <c r="LP76" s="21"/>
      <c r="LQ76" s="21"/>
      <c r="LR76" s="21"/>
      <c r="LS76" s="21"/>
      <c r="LT76" s="21"/>
      <c r="LU76" s="21"/>
      <c r="LV76" s="21"/>
      <c r="LW76" s="21"/>
      <c r="LX76" s="21"/>
      <c r="LY76" s="21"/>
      <c r="LZ76" s="21"/>
      <c r="MA76" s="21"/>
      <c r="MB76" s="21"/>
      <c r="MC76" s="21"/>
      <c r="MD76" s="21"/>
      <c r="ME76" s="21"/>
      <c r="MF76" s="21"/>
      <c r="MG76" s="21"/>
      <c r="MH76" s="21"/>
      <c r="MI76" s="21"/>
      <c r="MJ76" s="21"/>
      <c r="MK76" s="21"/>
      <c r="ML76" s="21"/>
      <c r="MM76" s="21"/>
      <c r="MN76" s="21"/>
      <c r="MO76" s="21"/>
      <c r="MP76" s="21"/>
      <c r="MQ76" s="21"/>
      <c r="MR76" s="21"/>
      <c r="MS76" s="21"/>
      <c r="MT76" s="21"/>
      <c r="MU76" s="21"/>
      <c r="MV76" s="21"/>
      <c r="MW76" s="21"/>
      <c r="MX76" s="21"/>
      <c r="MY76" s="21"/>
      <c r="MZ76" s="21"/>
      <c r="NA76" s="21"/>
      <c r="NB76" s="21"/>
      <c r="NC76" s="21"/>
      <c r="ND76" s="21"/>
      <c r="NE76" s="21"/>
      <c r="NF76" s="21"/>
      <c r="NG76" s="21"/>
      <c r="NH76" s="21"/>
      <c r="NI76" s="21"/>
      <c r="NJ76" s="21"/>
      <c r="NK76" s="21"/>
      <c r="NL76" s="21"/>
      <c r="NM76" s="21"/>
      <c r="NN76" s="21"/>
      <c r="NO76" s="21"/>
      <c r="NP76" s="21"/>
      <c r="NQ76" s="21"/>
      <c r="NR76" s="21"/>
      <c r="NS76" s="21"/>
      <c r="NT76" s="21"/>
      <c r="NU76" s="21"/>
      <c r="NV76" s="21"/>
      <c r="NW76" s="21"/>
      <c r="NX76" s="21"/>
      <c r="NY76" s="21"/>
      <c r="NZ76" s="21"/>
      <c r="OA76" s="21"/>
      <c r="OB76" s="21"/>
      <c r="OC76" s="21"/>
      <c r="OD76" s="21"/>
      <c r="OE76" s="21"/>
      <c r="OF76" s="21"/>
      <c r="OG76" s="21"/>
      <c r="OH76" s="21"/>
      <c r="OI76" s="21"/>
      <c r="OJ76" s="21"/>
      <c r="OK76" s="21"/>
      <c r="OL76" s="21"/>
      <c r="OM76" s="21"/>
      <c r="ON76" s="21"/>
      <c r="OO76" s="21"/>
      <c r="OP76" s="21"/>
      <c r="OQ76" s="21"/>
      <c r="OR76" s="21"/>
      <c r="OS76" s="21"/>
      <c r="OT76" s="21"/>
      <c r="OU76" s="21"/>
      <c r="OV76" s="21"/>
      <c r="OW76" s="21"/>
      <c r="OX76" s="21"/>
      <c r="OY76" s="21"/>
      <c r="OZ76" s="21"/>
      <c r="PA76" s="21"/>
      <c r="PB76" s="21"/>
      <c r="PC76" s="21"/>
      <c r="PD76" s="21"/>
      <c r="PE76" s="21"/>
      <c r="PF76" s="21"/>
      <c r="PG76" s="21"/>
      <c r="PH76" s="21"/>
      <c r="PI76" s="21"/>
      <c r="PJ76" s="21"/>
      <c r="PK76" s="21"/>
      <c r="PL76" s="21"/>
      <c r="PM76" s="21"/>
      <c r="PN76" s="21"/>
      <c r="PO76" s="21"/>
      <c r="PP76" s="21"/>
      <c r="PQ76" s="21"/>
      <c r="PR76" s="21"/>
      <c r="PS76" s="21"/>
      <c r="PT76" s="21"/>
      <c r="PU76" s="21"/>
      <c r="PV76" s="21"/>
      <c r="PW76" s="21"/>
      <c r="PX76" s="21"/>
      <c r="PY76" s="21"/>
      <c r="PZ76" s="21"/>
      <c r="QA76" s="21"/>
      <c r="QB76" s="21"/>
      <c r="QC76" s="21"/>
      <c r="QD76" s="21"/>
      <c r="QE76" s="21"/>
      <c r="QF76" s="21"/>
      <c r="QG76" s="21"/>
      <c r="QH76" s="21"/>
      <c r="QI76" s="21"/>
      <c r="QJ76" s="21"/>
      <c r="QK76" s="21"/>
      <c r="QL76" s="21"/>
      <c r="QM76" s="21"/>
      <c r="QN76" s="21"/>
      <c r="QO76" s="21"/>
      <c r="QP76" s="21"/>
      <c r="QQ76" s="21"/>
      <c r="QR76" s="21"/>
      <c r="QS76" s="21"/>
      <c r="QT76" s="21"/>
      <c r="QU76" s="21"/>
      <c r="QV76" s="21"/>
      <c r="QW76" s="21"/>
      <c r="QX76" s="21"/>
      <c r="QY76" s="21"/>
      <c r="QZ76" s="21"/>
      <c r="RA76" s="21"/>
      <c r="RB76" s="21"/>
      <c r="RC76" s="21"/>
      <c r="RD76" s="21"/>
      <c r="RE76" s="21"/>
      <c r="RF76" s="21"/>
      <c r="RG76" s="21"/>
      <c r="RH76" s="21"/>
      <c r="RI76" s="21"/>
      <c r="RJ76" s="21"/>
      <c r="RK76" s="21"/>
      <c r="RL76" s="21"/>
      <c r="RM76" s="21"/>
      <c r="RN76" s="21"/>
      <c r="RO76" s="21"/>
      <c r="RP76" s="21"/>
      <c r="RQ76" s="21"/>
      <c r="RR76" s="21"/>
      <c r="RS76" s="21"/>
      <c r="RT76" s="21"/>
      <c r="RU76" s="21"/>
      <c r="RV76" s="21"/>
      <c r="RW76" s="21"/>
      <c r="RX76" s="21"/>
      <c r="RY76" s="21"/>
      <c r="RZ76" s="21"/>
      <c r="SA76" s="21"/>
      <c r="SB76" s="21"/>
      <c r="SC76" s="21"/>
      <c r="SD76" s="21"/>
      <c r="SE76" s="21"/>
      <c r="SF76" s="21"/>
      <c r="SG76" s="21"/>
      <c r="SH76" s="21"/>
      <c r="SI76" s="21"/>
      <c r="SJ76" s="21"/>
      <c r="SK76" s="21"/>
      <c r="SL76" s="21"/>
      <c r="SM76" s="21"/>
      <c r="SN76" s="21"/>
      <c r="SO76" s="21"/>
      <c r="SP76" s="21"/>
      <c r="SQ76" s="21"/>
      <c r="SR76" s="21"/>
      <c r="SS76" s="21"/>
      <c r="ST76" s="21"/>
      <c r="SU76" s="21"/>
      <c r="SV76" s="21"/>
      <c r="SW76" s="21"/>
      <c r="SX76" s="21"/>
      <c r="SY76" s="21"/>
      <c r="SZ76" s="21"/>
      <c r="TA76" s="21"/>
      <c r="TB76" s="21"/>
      <c r="TC76" s="21"/>
      <c r="TD76" s="21"/>
      <c r="TE76" s="21"/>
      <c r="TF76" s="21"/>
      <c r="TG76" s="21"/>
      <c r="TH76" s="21"/>
      <c r="TI76" s="21"/>
      <c r="TJ76" s="21"/>
      <c r="TK76" s="21"/>
      <c r="TL76" s="21"/>
      <c r="TM76" s="21"/>
      <c r="TN76" s="21"/>
      <c r="TO76" s="21"/>
      <c r="TP76" s="21"/>
      <c r="TQ76" s="21"/>
      <c r="TR76" s="21"/>
      <c r="TS76" s="21"/>
      <c r="TT76" s="21"/>
      <c r="TU76" s="21"/>
      <c r="TV76" s="21"/>
      <c r="TW76" s="21"/>
      <c r="TX76" s="21"/>
      <c r="TY76" s="21"/>
      <c r="TZ76" s="21"/>
      <c r="UA76" s="21"/>
      <c r="UB76" s="21"/>
      <c r="UC76" s="21"/>
      <c r="UD76" s="21"/>
      <c r="UE76" s="21"/>
      <c r="UF76" s="21"/>
      <c r="UG76" s="21"/>
      <c r="UH76" s="21"/>
      <c r="UI76" s="21"/>
      <c r="UJ76" s="21"/>
      <c r="UK76" s="21"/>
      <c r="UL76" s="21"/>
      <c r="UM76" s="21"/>
      <c r="UN76" s="21"/>
      <c r="UO76" s="21"/>
      <c r="UP76" s="21"/>
      <c r="UQ76" s="21"/>
      <c r="UR76" s="21"/>
      <c r="US76" s="21"/>
      <c r="UT76" s="21"/>
      <c r="UU76" s="21"/>
      <c r="UV76" s="21"/>
      <c r="UW76" s="21"/>
      <c r="UX76" s="21"/>
      <c r="UY76" s="21"/>
      <c r="UZ76" s="21"/>
      <c r="VA76" s="21"/>
      <c r="VB76" s="21"/>
      <c r="VC76" s="21"/>
      <c r="VD76" s="21"/>
      <c r="VE76" s="21"/>
      <c r="VF76" s="21"/>
      <c r="VG76" s="21"/>
      <c r="VH76" s="21"/>
      <c r="VI76" s="21"/>
      <c r="VJ76" s="21"/>
      <c r="VK76" s="21"/>
      <c r="VL76" s="21"/>
      <c r="VM76" s="21"/>
      <c r="VN76" s="21"/>
      <c r="VO76" s="21"/>
      <c r="VP76" s="21"/>
      <c r="VQ76" s="21"/>
      <c r="VR76" s="21"/>
      <c r="VS76" s="21"/>
      <c r="VT76" s="21"/>
      <c r="VU76" s="21"/>
      <c r="VV76" s="21"/>
      <c r="VW76" s="21"/>
      <c r="VX76" s="21"/>
      <c r="VY76" s="21"/>
      <c r="VZ76" s="21"/>
      <c r="WA76" s="21"/>
      <c r="WB76" s="21"/>
      <c r="WC76" s="21"/>
      <c r="WD76" s="21"/>
      <c r="WE76" s="21"/>
      <c r="WF76" s="21"/>
      <c r="WG76" s="21"/>
      <c r="WH76" s="21"/>
      <c r="WI76" s="21"/>
      <c r="WJ76" s="21"/>
      <c r="WK76" s="21"/>
      <c r="WL76" s="21"/>
      <c r="WM76" s="21"/>
      <c r="WN76" s="21"/>
      <c r="WO76" s="21"/>
      <c r="WP76" s="21"/>
      <c r="WQ76" s="21"/>
      <c r="WR76" s="21"/>
      <c r="WS76" s="21"/>
      <c r="WT76" s="21"/>
      <c r="WU76" s="21"/>
      <c r="WV76" s="21"/>
      <c r="WW76" s="21"/>
      <c r="WX76" s="21"/>
      <c r="WY76" s="21"/>
      <c r="WZ76" s="21"/>
      <c r="XA76" s="21"/>
      <c r="XB76" s="21"/>
      <c r="XC76" s="21"/>
      <c r="XD76" s="21"/>
      <c r="XE76" s="21"/>
      <c r="XF76" s="21"/>
      <c r="XG76" s="21"/>
      <c r="XH76" s="21"/>
      <c r="XI76" s="21"/>
      <c r="XJ76" s="21"/>
      <c r="XK76" s="21"/>
      <c r="XL76" s="21"/>
      <c r="XM76" s="21"/>
      <c r="XN76" s="21"/>
      <c r="XO76" s="21"/>
      <c r="XP76" s="21"/>
      <c r="XQ76" s="21"/>
      <c r="XR76" s="21"/>
      <c r="XS76" s="21"/>
      <c r="XT76" s="21"/>
      <c r="XU76" s="21"/>
      <c r="XV76" s="21"/>
      <c r="XW76" s="21"/>
      <c r="XX76" s="21"/>
      <c r="XY76" s="21"/>
      <c r="XZ76" s="21"/>
      <c r="YA76" s="21"/>
      <c r="YB76" s="21"/>
      <c r="YC76" s="21"/>
      <c r="YD76" s="21"/>
      <c r="YE76" s="21"/>
      <c r="YF76" s="21"/>
      <c r="YG76" s="21"/>
      <c r="YH76" s="21"/>
      <c r="YI76" s="21"/>
      <c r="YJ76" s="21"/>
      <c r="YK76" s="21"/>
      <c r="YL76" s="21"/>
      <c r="YM76" s="21"/>
      <c r="YN76" s="21"/>
      <c r="YO76" s="21"/>
      <c r="YP76" s="21"/>
      <c r="YQ76" s="21"/>
      <c r="YR76" s="21"/>
      <c r="YS76" s="21"/>
      <c r="YT76" s="21"/>
      <c r="YU76" s="21"/>
      <c r="YV76" s="21"/>
      <c r="YW76" s="21"/>
      <c r="YX76" s="21"/>
      <c r="YY76" s="21"/>
      <c r="YZ76" s="21"/>
      <c r="ZA76" s="21"/>
      <c r="ZB76" s="21"/>
      <c r="ZC76" s="21"/>
      <c r="ZD76" s="21"/>
      <c r="ZE76" s="21"/>
      <c r="ZF76" s="21"/>
      <c r="ZG76" s="21"/>
      <c r="ZH76" s="21"/>
      <c r="ZI76" s="21"/>
      <c r="ZJ76" s="21"/>
      <c r="ZK76" s="21"/>
      <c r="ZL76" s="21"/>
      <c r="ZM76" s="21"/>
      <c r="ZN76" s="21"/>
      <c r="ZO76" s="21"/>
      <c r="ZP76" s="21"/>
      <c r="ZQ76" s="21"/>
      <c r="ZR76" s="21"/>
      <c r="ZS76" s="21"/>
      <c r="ZT76" s="21"/>
      <c r="ZU76" s="21"/>
      <c r="ZV76" s="21"/>
      <c r="ZW76" s="21"/>
      <c r="ZX76" s="21"/>
      <c r="ZY76" s="21"/>
      <c r="ZZ76" s="21"/>
      <c r="AAA76" s="21"/>
      <c r="AAB76" s="21"/>
      <c r="AAC76" s="21"/>
      <c r="AAD76" s="21"/>
      <c r="AAE76" s="21"/>
      <c r="AAF76" s="21"/>
    </row>
    <row r="77" spans="1:708" ht="22.5" customHeight="1" x14ac:dyDescent="0.25">
      <c r="A77" s="136"/>
      <c r="B77" s="136"/>
      <c r="C77" s="136"/>
      <c r="D77" s="136"/>
      <c r="E77" s="136"/>
      <c r="F77" s="136"/>
      <c r="G77" s="136"/>
      <c r="H77" s="136"/>
      <c r="I77" s="136"/>
      <c r="J77" s="136"/>
      <c r="K77" s="136"/>
      <c r="L77" s="136"/>
      <c r="M77" s="136"/>
      <c r="N77" s="136"/>
      <c r="O77" s="136"/>
      <c r="P77" s="136"/>
      <c r="Q77" s="136"/>
      <c r="R77" s="136"/>
      <c r="S77" s="137"/>
      <c r="T77" s="136"/>
      <c r="U77" s="136"/>
      <c r="V77" s="138"/>
      <c r="W77" s="138"/>
      <c r="X77" s="136"/>
      <c r="Y77" s="136"/>
      <c r="Z77" s="136"/>
      <c r="AA77" s="136"/>
      <c r="AB77" s="136"/>
      <c r="AC77" s="136"/>
      <c r="AD77" s="136"/>
      <c r="AE77" s="136"/>
      <c r="AF77" s="137"/>
      <c r="AG77" s="139"/>
      <c r="AH77" s="139"/>
      <c r="AI77" s="139"/>
      <c r="AJ77" s="139"/>
      <c r="AK77" s="139"/>
      <c r="AL77" s="139"/>
      <c r="AM77" s="139"/>
      <c r="AN77" s="140"/>
      <c r="AO77" s="136"/>
      <c r="AP77" s="136"/>
      <c r="AQ77" s="136"/>
      <c r="AR77" s="136"/>
      <c r="AS77" s="136"/>
      <c r="AT77" s="136"/>
      <c r="AU77" s="136"/>
      <c r="AV77" s="137"/>
    </row>
    <row r="78" spans="1:708" ht="22.5" customHeight="1" x14ac:dyDescent="0.25">
      <c r="A78" s="136"/>
      <c r="B78" s="136"/>
      <c r="C78" s="136"/>
      <c r="D78" s="136"/>
      <c r="E78" s="136"/>
      <c r="F78" s="136"/>
      <c r="G78" s="136"/>
      <c r="H78" s="136"/>
      <c r="I78" s="136"/>
      <c r="J78" s="136"/>
      <c r="K78" s="136"/>
      <c r="L78" s="136"/>
      <c r="M78" s="136"/>
      <c r="N78" s="136"/>
      <c r="O78" s="136"/>
      <c r="P78" s="136"/>
      <c r="Q78" s="136"/>
      <c r="R78" s="136"/>
      <c r="S78" s="137"/>
      <c r="T78" s="136"/>
      <c r="U78" s="136"/>
      <c r="V78" s="138"/>
      <c r="W78" s="138"/>
      <c r="X78" s="136"/>
      <c r="Y78" s="136"/>
      <c r="Z78" s="136"/>
      <c r="AA78" s="136"/>
      <c r="AB78" s="136"/>
      <c r="AC78" s="136"/>
      <c r="AD78" s="136"/>
      <c r="AE78" s="136"/>
      <c r="AF78" s="137"/>
      <c r="AG78" s="139"/>
      <c r="AH78" s="139"/>
      <c r="AI78" s="139"/>
      <c r="AJ78" s="139"/>
      <c r="AK78" s="139"/>
      <c r="AL78" s="139"/>
      <c r="AM78" s="139"/>
      <c r="AN78" s="140"/>
      <c r="AO78" s="136"/>
      <c r="AP78" s="136"/>
      <c r="AQ78" s="136"/>
      <c r="AR78" s="136"/>
      <c r="AS78" s="136"/>
      <c r="AT78" s="136"/>
      <c r="AU78" s="136"/>
      <c r="AV78" s="137"/>
    </row>
    <row r="79" spans="1:708" ht="69.75" customHeight="1" x14ac:dyDescent="0.25">
      <c r="A79" s="21"/>
      <c r="B79" s="21"/>
      <c r="C79" s="21"/>
      <c r="D79" s="21"/>
      <c r="E79" s="21"/>
      <c r="F79" s="21"/>
      <c r="G79" s="21"/>
      <c r="H79" s="21"/>
      <c r="I79" s="21"/>
      <c r="J79" s="21"/>
      <c r="K79" s="21"/>
      <c r="L79" s="21"/>
      <c r="M79" s="21"/>
      <c r="N79" s="21"/>
      <c r="O79" s="21"/>
      <c r="P79" s="21"/>
      <c r="Q79" s="21"/>
      <c r="R79" s="21"/>
      <c r="S79" s="1"/>
      <c r="T79" s="21"/>
      <c r="U79" s="21"/>
      <c r="V79" s="141"/>
      <c r="W79" s="141"/>
      <c r="Y79" s="388" t="s">
        <v>373</v>
      </c>
      <c r="Z79" s="388"/>
      <c r="AA79" s="58">
        <f>AVERAGE(AA13,AA21,AA29,AA37,AA45,AA53,AA57,AA61,AA66,AA73,AA76)</f>
        <v>0.3467038214310238</v>
      </c>
      <c r="AC79" s="388" t="s">
        <v>374</v>
      </c>
      <c r="AD79" s="388"/>
      <c r="AE79" s="58">
        <f>AVERAGE(AE13,AE21,AE29,AE37,AE45,AE53,AE61)</f>
        <v>0.13148004977188851</v>
      </c>
      <c r="AG79" s="564" t="s">
        <v>373</v>
      </c>
      <c r="AH79" s="564"/>
      <c r="AI79" s="62">
        <v>0.456136371625182</v>
      </c>
      <c r="AJ79" s="143"/>
      <c r="AK79" s="564" t="s">
        <v>374</v>
      </c>
      <c r="AL79" s="564"/>
      <c r="AM79" s="62">
        <v>0.22042592560201521</v>
      </c>
      <c r="AN79" s="144"/>
      <c r="AO79" s="388" t="s">
        <v>373</v>
      </c>
      <c r="AP79" s="388"/>
      <c r="AQ79" s="58">
        <f>AVERAGE(AQ13,AQ21,AQ29,AQ37,AQ45,AQ53,AQ57,AQ61,AQ66,AQ76)</f>
        <v>0.42512732934605307</v>
      </c>
      <c r="AS79" s="388" t="s">
        <v>374</v>
      </c>
      <c r="AT79" s="388"/>
      <c r="AU79" s="58">
        <f>AVERAGE(AU13,AU21,AU29,AU37,AU45,AU53,AU61)</f>
        <v>0.2746603768438084</v>
      </c>
    </row>
    <row r="80" spans="1:708" s="21" customFormat="1" ht="22.5" customHeight="1" x14ac:dyDescent="0.25">
      <c r="S80" s="1"/>
      <c r="V80" s="141"/>
      <c r="W80" s="141"/>
      <c r="AF80" s="1"/>
      <c r="AN80" s="1"/>
      <c r="AV80" s="1"/>
    </row>
    <row r="81" spans="19:48" s="21" customFormat="1" ht="22.5" customHeight="1" x14ac:dyDescent="0.25">
      <c r="S81" s="1"/>
      <c r="V81" s="141"/>
      <c r="W81" s="141"/>
      <c r="AF81" s="1"/>
      <c r="AN81" s="1"/>
      <c r="AV81" s="1"/>
    </row>
    <row r="82" spans="19:48" s="21" customFormat="1" ht="22.5" customHeight="1" x14ac:dyDescent="0.25">
      <c r="S82" s="1"/>
      <c r="V82" s="141"/>
      <c r="W82" s="141"/>
      <c r="AF82" s="1"/>
      <c r="AN82" s="1"/>
      <c r="AV82" s="1"/>
    </row>
    <row r="83" spans="19:48" s="21" customFormat="1" ht="22.5" customHeight="1" x14ac:dyDescent="0.25">
      <c r="S83" s="1"/>
      <c r="V83" s="141"/>
      <c r="W83" s="141"/>
      <c r="AF83" s="1"/>
      <c r="AN83" s="1"/>
      <c r="AV83" s="1"/>
    </row>
    <row r="84" spans="19:48" s="21" customFormat="1" ht="22.5" customHeight="1" x14ac:dyDescent="0.25">
      <c r="S84" s="1"/>
      <c r="V84" s="141"/>
      <c r="W84" s="141"/>
      <c r="AF84" s="1"/>
      <c r="AN84" s="1"/>
      <c r="AV84" s="1"/>
    </row>
    <row r="85" spans="19:48" s="21" customFormat="1" ht="22.5" customHeight="1" x14ac:dyDescent="0.25">
      <c r="S85" s="1"/>
      <c r="V85" s="141"/>
      <c r="W85" s="141"/>
      <c r="AF85" s="1"/>
      <c r="AN85" s="1"/>
      <c r="AV85" s="1"/>
    </row>
    <row r="86" spans="19:48" s="21" customFormat="1" ht="22.5" customHeight="1" x14ac:dyDescent="0.25">
      <c r="S86" s="1"/>
      <c r="V86" s="141"/>
      <c r="W86" s="141"/>
      <c r="AF86" s="1"/>
      <c r="AN86" s="1"/>
      <c r="AV86" s="1"/>
    </row>
    <row r="87" spans="19:48" s="21" customFormat="1" ht="22.5" customHeight="1" x14ac:dyDescent="0.25">
      <c r="S87" s="1"/>
      <c r="V87" s="141"/>
      <c r="W87" s="141"/>
      <c r="AF87" s="1"/>
      <c r="AN87" s="1"/>
      <c r="AV87" s="1"/>
    </row>
    <row r="88" spans="19:48" s="21" customFormat="1" ht="22.5" customHeight="1" x14ac:dyDescent="0.25">
      <c r="S88" s="1"/>
      <c r="V88" s="141"/>
      <c r="W88" s="141"/>
      <c r="AF88" s="1"/>
      <c r="AN88" s="1"/>
      <c r="AV88" s="1"/>
    </row>
    <row r="89" spans="19:48" s="21" customFormat="1" ht="22.5" customHeight="1" x14ac:dyDescent="0.25">
      <c r="S89" s="1"/>
      <c r="V89" s="141"/>
      <c r="W89" s="141"/>
      <c r="AF89" s="1"/>
      <c r="AN89" s="1"/>
      <c r="AV89" s="1"/>
    </row>
    <row r="90" spans="19:48" s="21" customFormat="1" ht="22.5" customHeight="1" x14ac:dyDescent="0.25">
      <c r="S90" s="1"/>
      <c r="V90" s="141"/>
      <c r="W90" s="141"/>
      <c r="AF90" s="1"/>
      <c r="AN90" s="1"/>
      <c r="AV90" s="1"/>
    </row>
    <row r="91" spans="19:48" s="21" customFormat="1" ht="22.5" customHeight="1" x14ac:dyDescent="0.25">
      <c r="S91" s="1"/>
      <c r="V91" s="141"/>
      <c r="W91" s="141"/>
      <c r="AF91" s="1"/>
      <c r="AN91" s="1"/>
      <c r="AV91" s="1"/>
    </row>
    <row r="92" spans="19:48" s="21" customFormat="1" ht="22.5" customHeight="1" x14ac:dyDescent="0.25">
      <c r="S92" s="1"/>
      <c r="V92" s="141"/>
      <c r="W92" s="141"/>
      <c r="AF92" s="1"/>
      <c r="AN92" s="1"/>
      <c r="AV92" s="1"/>
    </row>
    <row r="93" spans="19:48" s="21" customFormat="1" ht="22.5" customHeight="1" x14ac:dyDescent="0.25">
      <c r="S93" s="1"/>
      <c r="V93" s="141"/>
      <c r="W93" s="141"/>
      <c r="AF93" s="1"/>
      <c r="AN93" s="1"/>
      <c r="AV93" s="1"/>
    </row>
    <row r="94" spans="19:48" s="21" customFormat="1" ht="22.5" customHeight="1" x14ac:dyDescent="0.25">
      <c r="S94" s="1"/>
      <c r="V94" s="141"/>
      <c r="W94" s="141"/>
      <c r="AF94" s="1"/>
      <c r="AN94" s="1"/>
      <c r="AV94" s="1"/>
    </row>
    <row r="95" spans="19:48" s="21" customFormat="1" ht="22.5" customHeight="1" x14ac:dyDescent="0.25">
      <c r="S95" s="1"/>
      <c r="V95" s="141"/>
      <c r="W95" s="141"/>
      <c r="AF95" s="1"/>
      <c r="AN95" s="1"/>
      <c r="AV95" s="1"/>
    </row>
    <row r="96" spans="19:48" s="21" customFormat="1" ht="22.5" customHeight="1" x14ac:dyDescent="0.25">
      <c r="S96" s="1"/>
      <c r="V96" s="141"/>
      <c r="W96" s="141"/>
      <c r="AF96" s="1"/>
      <c r="AN96" s="1"/>
      <c r="AV96" s="1"/>
    </row>
    <row r="97" spans="19:48" s="21" customFormat="1" ht="22.5" customHeight="1" x14ac:dyDescent="0.25">
      <c r="S97" s="1"/>
      <c r="V97" s="141"/>
      <c r="W97" s="141"/>
      <c r="AF97" s="1"/>
      <c r="AN97" s="1"/>
      <c r="AV97" s="1"/>
    </row>
    <row r="98" spans="19:48" s="21" customFormat="1" ht="22.5" customHeight="1" x14ac:dyDescent="0.25">
      <c r="S98" s="1"/>
      <c r="V98" s="141"/>
      <c r="W98" s="141"/>
      <c r="AF98" s="1"/>
      <c r="AN98" s="1"/>
      <c r="AV98" s="1"/>
    </row>
    <row r="99" spans="19:48" s="21" customFormat="1" ht="22.5" customHeight="1" x14ac:dyDescent="0.25">
      <c r="S99" s="1"/>
      <c r="V99" s="141"/>
      <c r="W99" s="141"/>
      <c r="AF99" s="1"/>
      <c r="AN99" s="1"/>
      <c r="AV99" s="1"/>
    </row>
    <row r="100" spans="19:48" s="21" customFormat="1" ht="22.5" customHeight="1" x14ac:dyDescent="0.25">
      <c r="S100" s="1"/>
      <c r="V100" s="141"/>
      <c r="W100" s="141"/>
      <c r="AF100" s="1"/>
      <c r="AN100" s="1"/>
      <c r="AV100" s="1"/>
    </row>
    <row r="101" spans="19:48" s="21" customFormat="1" ht="22.5" customHeight="1" x14ac:dyDescent="0.25">
      <c r="S101" s="1"/>
      <c r="V101" s="141"/>
      <c r="W101" s="141"/>
      <c r="AF101" s="1"/>
      <c r="AN101" s="1"/>
      <c r="AV101" s="1"/>
    </row>
    <row r="102" spans="19:48" s="21" customFormat="1" ht="22.5" customHeight="1" x14ac:dyDescent="0.25">
      <c r="S102" s="1"/>
      <c r="V102" s="141"/>
      <c r="W102" s="141"/>
      <c r="AF102" s="1"/>
      <c r="AN102" s="1"/>
      <c r="AV102" s="1"/>
    </row>
    <row r="103" spans="19:48" s="21" customFormat="1" ht="22.5" customHeight="1" x14ac:dyDescent="0.25">
      <c r="S103" s="1"/>
      <c r="V103" s="141"/>
      <c r="W103" s="141"/>
      <c r="AF103" s="1"/>
      <c r="AN103" s="1"/>
      <c r="AV103" s="1"/>
    </row>
    <row r="104" spans="19:48" s="21" customFormat="1" ht="22.5" customHeight="1" x14ac:dyDescent="0.25">
      <c r="S104" s="1"/>
      <c r="V104" s="141"/>
      <c r="W104" s="141"/>
      <c r="AF104" s="1"/>
      <c r="AN104" s="1"/>
      <c r="AV104" s="1"/>
    </row>
    <row r="105" spans="19:48" s="21" customFormat="1" ht="22.5" customHeight="1" x14ac:dyDescent="0.25">
      <c r="S105" s="1"/>
      <c r="V105" s="141"/>
      <c r="W105" s="141"/>
      <c r="AF105" s="1"/>
      <c r="AN105" s="1"/>
      <c r="AV105" s="1"/>
    </row>
    <row r="106" spans="19:48" s="21" customFormat="1" ht="22.5" customHeight="1" x14ac:dyDescent="0.25">
      <c r="S106" s="1"/>
      <c r="V106" s="141"/>
      <c r="W106" s="141"/>
      <c r="AF106" s="1"/>
      <c r="AN106" s="1"/>
      <c r="AV106" s="1"/>
    </row>
    <row r="107" spans="19:48" s="21" customFormat="1" ht="22.5" customHeight="1" x14ac:dyDescent="0.25">
      <c r="S107" s="1"/>
      <c r="V107" s="141"/>
      <c r="W107" s="141"/>
      <c r="AF107" s="1"/>
      <c r="AN107" s="1"/>
      <c r="AV107" s="1"/>
    </row>
    <row r="108" spans="19:48" s="21" customFormat="1" ht="22.5" customHeight="1" x14ac:dyDescent="0.25">
      <c r="S108" s="1"/>
      <c r="V108" s="141"/>
      <c r="W108" s="141"/>
      <c r="AF108" s="1"/>
      <c r="AN108" s="1"/>
      <c r="AV108" s="1"/>
    </row>
    <row r="109" spans="19:48" s="21" customFormat="1" ht="22.5" customHeight="1" x14ac:dyDescent="0.25">
      <c r="S109" s="1"/>
      <c r="V109" s="141"/>
      <c r="W109" s="141"/>
      <c r="AF109" s="1"/>
      <c r="AN109" s="1"/>
      <c r="AV109" s="1"/>
    </row>
    <row r="110" spans="19:48" s="21" customFormat="1" ht="22.5" customHeight="1" x14ac:dyDescent="0.25">
      <c r="S110" s="1"/>
      <c r="V110" s="141"/>
      <c r="W110" s="141"/>
      <c r="AF110" s="1"/>
      <c r="AN110" s="1"/>
      <c r="AV110" s="1"/>
    </row>
    <row r="111" spans="19:48" s="21" customFormat="1" ht="22.5" customHeight="1" x14ac:dyDescent="0.25">
      <c r="S111" s="1"/>
      <c r="V111" s="141"/>
      <c r="W111" s="141"/>
      <c r="AF111" s="1"/>
      <c r="AN111" s="1"/>
      <c r="AV111" s="1"/>
    </row>
    <row r="112" spans="19:48" s="21" customFormat="1" ht="22.5" customHeight="1" x14ac:dyDescent="0.25">
      <c r="S112" s="1"/>
      <c r="V112" s="141"/>
      <c r="W112" s="141"/>
      <c r="AF112" s="1"/>
      <c r="AN112" s="1"/>
      <c r="AV112" s="1"/>
    </row>
    <row r="113" spans="19:48" s="21" customFormat="1" ht="22.5" customHeight="1" x14ac:dyDescent="0.25">
      <c r="S113" s="1"/>
      <c r="V113" s="141"/>
      <c r="W113" s="141"/>
      <c r="AF113" s="1"/>
      <c r="AN113" s="1"/>
      <c r="AV113" s="1"/>
    </row>
    <row r="114" spans="19:48" s="21" customFormat="1" ht="22.5" customHeight="1" x14ac:dyDescent="0.25">
      <c r="S114" s="1"/>
      <c r="V114" s="141"/>
      <c r="W114" s="141"/>
      <c r="AF114" s="1"/>
      <c r="AN114" s="1"/>
      <c r="AV114" s="1"/>
    </row>
    <row r="115" spans="19:48" s="21" customFormat="1" ht="22.5" customHeight="1" x14ac:dyDescent="0.25">
      <c r="S115" s="1"/>
      <c r="V115" s="141"/>
      <c r="W115" s="141"/>
      <c r="AF115" s="1"/>
      <c r="AN115" s="1"/>
      <c r="AV115" s="1"/>
    </row>
    <row r="116" spans="19:48" s="21" customFormat="1" ht="22.5" customHeight="1" x14ac:dyDescent="0.25">
      <c r="S116" s="1"/>
      <c r="V116" s="141"/>
      <c r="W116" s="141"/>
      <c r="AF116" s="1"/>
      <c r="AN116" s="1"/>
      <c r="AV116" s="1"/>
    </row>
    <row r="117" spans="19:48" s="21" customFormat="1" ht="22.5" customHeight="1" x14ac:dyDescent="0.25">
      <c r="S117" s="1"/>
      <c r="V117" s="141"/>
      <c r="W117" s="141"/>
      <c r="AF117" s="1"/>
      <c r="AN117" s="1"/>
      <c r="AV117" s="1"/>
    </row>
    <row r="118" spans="19:48" s="21" customFormat="1" ht="22.5" customHeight="1" x14ac:dyDescent="0.25">
      <c r="S118" s="1"/>
      <c r="V118" s="141"/>
      <c r="W118" s="141"/>
      <c r="AF118" s="1"/>
      <c r="AN118" s="1"/>
      <c r="AV118" s="1"/>
    </row>
    <row r="119" spans="19:48" s="21" customFormat="1" ht="22.5" customHeight="1" x14ac:dyDescent="0.25">
      <c r="S119" s="1"/>
      <c r="V119" s="141"/>
      <c r="W119" s="141"/>
      <c r="AF119" s="1"/>
      <c r="AN119" s="1"/>
      <c r="AV119" s="1"/>
    </row>
    <row r="120" spans="19:48" s="21" customFormat="1" ht="22.5" customHeight="1" x14ac:dyDescent="0.25">
      <c r="S120" s="1"/>
      <c r="V120" s="141"/>
      <c r="W120" s="141"/>
      <c r="AF120" s="1"/>
      <c r="AN120" s="1"/>
      <c r="AV120" s="1"/>
    </row>
    <row r="121" spans="19:48" s="21" customFormat="1" ht="22.5" customHeight="1" x14ac:dyDescent="0.25">
      <c r="S121" s="1"/>
      <c r="V121" s="141"/>
      <c r="W121" s="141"/>
      <c r="AF121" s="1"/>
      <c r="AN121" s="1"/>
      <c r="AV121" s="1"/>
    </row>
    <row r="122" spans="19:48" s="21" customFormat="1" ht="22.5" customHeight="1" x14ac:dyDescent="0.25">
      <c r="S122" s="1"/>
      <c r="V122" s="141"/>
      <c r="W122" s="141"/>
      <c r="AF122" s="1"/>
      <c r="AN122" s="1"/>
      <c r="AV122" s="1"/>
    </row>
    <row r="123" spans="19:48" s="21" customFormat="1" ht="22.5" customHeight="1" x14ac:dyDescent="0.25">
      <c r="S123" s="1"/>
      <c r="V123" s="141"/>
      <c r="W123" s="141"/>
      <c r="AF123" s="1"/>
      <c r="AN123" s="1"/>
      <c r="AV123" s="1"/>
    </row>
    <row r="124" spans="19:48" s="21" customFormat="1" ht="22.5" customHeight="1" x14ac:dyDescent="0.25">
      <c r="S124" s="1"/>
      <c r="V124" s="141"/>
      <c r="W124" s="141"/>
      <c r="AF124" s="1"/>
      <c r="AN124" s="1"/>
      <c r="AV124" s="1"/>
    </row>
    <row r="125" spans="19:48" s="21" customFormat="1" ht="22.5" customHeight="1" x14ac:dyDescent="0.25">
      <c r="S125" s="1"/>
      <c r="V125" s="141"/>
      <c r="W125" s="141"/>
      <c r="AF125" s="1"/>
      <c r="AN125" s="1"/>
      <c r="AV125" s="1"/>
    </row>
    <row r="126" spans="19:48" s="21" customFormat="1" ht="22.5" customHeight="1" x14ac:dyDescent="0.25">
      <c r="S126" s="1"/>
      <c r="V126" s="141"/>
      <c r="W126" s="141"/>
      <c r="AF126" s="1"/>
      <c r="AN126" s="1"/>
      <c r="AV126" s="1"/>
    </row>
    <row r="127" spans="19:48" s="21" customFormat="1" ht="22.5" customHeight="1" x14ac:dyDescent="0.25">
      <c r="S127" s="1"/>
      <c r="V127" s="141"/>
      <c r="W127" s="141"/>
      <c r="AF127" s="1"/>
      <c r="AN127" s="1"/>
      <c r="AV127" s="1"/>
    </row>
    <row r="128" spans="19:48" s="21" customFormat="1" ht="22.5" customHeight="1" x14ac:dyDescent="0.25">
      <c r="S128" s="1"/>
      <c r="V128" s="141"/>
      <c r="W128" s="141"/>
      <c r="AF128" s="1"/>
      <c r="AN128" s="1"/>
      <c r="AV128" s="1"/>
    </row>
    <row r="129" spans="19:48" s="21" customFormat="1" ht="22.5" customHeight="1" x14ac:dyDescent="0.25">
      <c r="S129" s="1"/>
      <c r="V129" s="141"/>
      <c r="W129" s="141"/>
      <c r="AF129" s="1"/>
      <c r="AN129" s="1"/>
      <c r="AV129" s="1"/>
    </row>
    <row r="130" spans="19:48" s="21" customFormat="1" ht="22.5" customHeight="1" x14ac:dyDescent="0.25">
      <c r="S130" s="1"/>
      <c r="V130" s="141"/>
      <c r="W130" s="141"/>
      <c r="AF130" s="1"/>
      <c r="AN130" s="1"/>
      <c r="AV130" s="1"/>
    </row>
    <row r="131" spans="19:48" s="21" customFormat="1" ht="22.5" customHeight="1" x14ac:dyDescent="0.25">
      <c r="S131" s="1"/>
      <c r="V131" s="141"/>
      <c r="W131" s="141"/>
      <c r="AF131" s="1"/>
      <c r="AN131" s="1"/>
      <c r="AV131" s="1"/>
    </row>
    <row r="132" spans="19:48" s="21" customFormat="1" ht="22.5" customHeight="1" x14ac:dyDescent="0.25">
      <c r="S132" s="1"/>
      <c r="V132" s="141"/>
      <c r="W132" s="141"/>
      <c r="AF132" s="1"/>
      <c r="AN132" s="1"/>
      <c r="AV132" s="1"/>
    </row>
    <row r="133" spans="19:48" s="21" customFormat="1" ht="22.5" customHeight="1" x14ac:dyDescent="0.25">
      <c r="S133" s="1"/>
      <c r="V133" s="141"/>
      <c r="W133" s="141"/>
      <c r="AF133" s="1"/>
      <c r="AN133" s="1"/>
      <c r="AV133" s="1"/>
    </row>
    <row r="134" spans="19:48" s="21" customFormat="1" ht="22.5" customHeight="1" x14ac:dyDescent="0.25">
      <c r="S134" s="1"/>
      <c r="V134" s="141"/>
      <c r="W134" s="141"/>
      <c r="AF134" s="1"/>
      <c r="AN134" s="1"/>
      <c r="AV134" s="1"/>
    </row>
    <row r="135" spans="19:48" s="21" customFormat="1" ht="22.5" customHeight="1" x14ac:dyDescent="0.25">
      <c r="S135" s="1"/>
      <c r="V135" s="141"/>
      <c r="W135" s="141"/>
      <c r="AF135" s="1"/>
      <c r="AN135" s="1"/>
      <c r="AV135" s="1"/>
    </row>
    <row r="136" spans="19:48" s="21" customFormat="1" ht="22.5" customHeight="1" x14ac:dyDescent="0.25">
      <c r="S136" s="1"/>
      <c r="V136" s="141"/>
      <c r="W136" s="141"/>
      <c r="AF136" s="1"/>
      <c r="AN136" s="1"/>
      <c r="AV136" s="1"/>
    </row>
    <row r="137" spans="19:48" s="21" customFormat="1" ht="22.5" customHeight="1" x14ac:dyDescent="0.25">
      <c r="S137" s="1"/>
      <c r="V137" s="141"/>
      <c r="W137" s="141"/>
      <c r="AF137" s="1"/>
      <c r="AN137" s="1"/>
      <c r="AV137" s="1"/>
    </row>
    <row r="138" spans="19:48" s="21" customFormat="1" ht="22.5" customHeight="1" x14ac:dyDescent="0.25">
      <c r="S138" s="1"/>
      <c r="V138" s="141"/>
      <c r="W138" s="141"/>
      <c r="AF138" s="1"/>
      <c r="AN138" s="1"/>
      <c r="AV138" s="1"/>
    </row>
    <row r="139" spans="19:48" s="21" customFormat="1" ht="22.5" customHeight="1" x14ac:dyDescent="0.25">
      <c r="S139" s="1"/>
      <c r="V139" s="141"/>
      <c r="W139" s="141"/>
      <c r="AF139" s="1"/>
      <c r="AN139" s="1"/>
      <c r="AV139" s="1"/>
    </row>
    <row r="140" spans="19:48" s="21" customFormat="1" ht="22.5" customHeight="1" x14ac:dyDescent="0.25">
      <c r="S140" s="1"/>
      <c r="V140" s="141"/>
      <c r="W140" s="141"/>
      <c r="AF140" s="1"/>
      <c r="AN140" s="1"/>
      <c r="AV140" s="1"/>
    </row>
    <row r="141" spans="19:48" s="21" customFormat="1" ht="22.5" customHeight="1" x14ac:dyDescent="0.25">
      <c r="S141" s="1"/>
      <c r="V141" s="141"/>
      <c r="W141" s="141"/>
      <c r="AF141" s="1"/>
      <c r="AN141" s="1"/>
      <c r="AV141" s="1"/>
    </row>
    <row r="142" spans="19:48" s="21" customFormat="1" ht="22.5" customHeight="1" x14ac:dyDescent="0.25">
      <c r="S142" s="1"/>
      <c r="V142" s="141"/>
      <c r="W142" s="141"/>
      <c r="AF142" s="1"/>
      <c r="AN142" s="1"/>
      <c r="AV142" s="1"/>
    </row>
    <row r="143" spans="19:48" s="21" customFormat="1" ht="22.5" customHeight="1" x14ac:dyDescent="0.25">
      <c r="S143" s="1"/>
      <c r="V143" s="141"/>
      <c r="W143" s="141"/>
      <c r="AF143" s="1"/>
      <c r="AN143" s="1"/>
      <c r="AV143" s="1"/>
    </row>
    <row r="144" spans="19:48" s="21" customFormat="1" ht="22.5" customHeight="1" x14ac:dyDescent="0.25">
      <c r="S144" s="1"/>
      <c r="V144" s="141"/>
      <c r="W144" s="141"/>
      <c r="AF144" s="1"/>
      <c r="AN144" s="1"/>
      <c r="AV144" s="1"/>
    </row>
    <row r="145" spans="19:48" s="21" customFormat="1" ht="22.5" customHeight="1" x14ac:dyDescent="0.25">
      <c r="S145" s="1"/>
      <c r="V145" s="141"/>
      <c r="W145" s="141"/>
      <c r="AF145" s="1"/>
      <c r="AN145" s="1"/>
      <c r="AV145" s="1"/>
    </row>
    <row r="146" spans="19:48" s="21" customFormat="1" ht="22.5" customHeight="1" x14ac:dyDescent="0.25">
      <c r="S146" s="1"/>
      <c r="V146" s="141"/>
      <c r="W146" s="141"/>
      <c r="AF146" s="1"/>
      <c r="AN146" s="1"/>
      <c r="AV146" s="1"/>
    </row>
    <row r="147" spans="19:48" s="21" customFormat="1" ht="22.5" customHeight="1" x14ac:dyDescent="0.25">
      <c r="S147" s="1"/>
      <c r="V147" s="141"/>
      <c r="W147" s="141"/>
      <c r="AF147" s="1"/>
      <c r="AN147" s="1"/>
      <c r="AV147" s="1"/>
    </row>
    <row r="148" spans="19:48" s="21" customFormat="1" ht="22.5" customHeight="1" x14ac:dyDescent="0.25">
      <c r="S148" s="1"/>
      <c r="V148" s="141"/>
      <c r="W148" s="141"/>
      <c r="AF148" s="1"/>
      <c r="AN148" s="1"/>
      <c r="AV148" s="1"/>
    </row>
    <row r="149" spans="19:48" s="21" customFormat="1" ht="22.5" customHeight="1" x14ac:dyDescent="0.25">
      <c r="S149" s="1"/>
      <c r="V149" s="141"/>
      <c r="W149" s="141"/>
      <c r="AF149" s="1"/>
      <c r="AN149" s="1"/>
      <c r="AV149" s="1"/>
    </row>
    <row r="150" spans="19:48" s="21" customFormat="1" ht="22.5" customHeight="1" x14ac:dyDescent="0.25">
      <c r="S150" s="1"/>
      <c r="V150" s="141"/>
      <c r="W150" s="141"/>
      <c r="AF150" s="1"/>
      <c r="AN150" s="1"/>
      <c r="AV150" s="1"/>
    </row>
    <row r="151" spans="19:48" s="21" customFormat="1" ht="22.5" customHeight="1" x14ac:dyDescent="0.25">
      <c r="S151" s="1"/>
      <c r="V151" s="141"/>
      <c r="W151" s="141"/>
      <c r="AF151" s="1"/>
      <c r="AN151" s="1"/>
      <c r="AV151" s="1"/>
    </row>
    <row r="152" spans="19:48" s="21" customFormat="1" ht="22.5" customHeight="1" x14ac:dyDescent="0.25">
      <c r="S152" s="1"/>
      <c r="V152" s="141"/>
      <c r="W152" s="141"/>
      <c r="AF152" s="1"/>
      <c r="AN152" s="1"/>
      <c r="AV152" s="1"/>
    </row>
    <row r="153" spans="19:48" s="21" customFormat="1" ht="22.5" customHeight="1" x14ac:dyDescent="0.25">
      <c r="S153" s="1"/>
      <c r="V153" s="141"/>
      <c r="W153" s="141"/>
      <c r="AF153" s="1"/>
      <c r="AN153" s="1"/>
      <c r="AV153" s="1"/>
    </row>
    <row r="154" spans="19:48" s="21" customFormat="1" ht="22.5" customHeight="1" x14ac:dyDescent="0.25">
      <c r="S154" s="1"/>
      <c r="V154" s="141"/>
      <c r="W154" s="141"/>
      <c r="AF154" s="1"/>
      <c r="AN154" s="1"/>
      <c r="AV154" s="1"/>
    </row>
    <row r="155" spans="19:48" s="21" customFormat="1" ht="22.5" customHeight="1" x14ac:dyDescent="0.25">
      <c r="S155" s="1"/>
      <c r="V155" s="141"/>
      <c r="W155" s="141"/>
      <c r="AF155" s="1"/>
      <c r="AN155" s="1"/>
      <c r="AV155" s="1"/>
    </row>
    <row r="156" spans="19:48" s="21" customFormat="1" ht="22.5" customHeight="1" x14ac:dyDescent="0.25">
      <c r="S156" s="1"/>
      <c r="V156" s="141"/>
      <c r="W156" s="141"/>
      <c r="AF156" s="1"/>
      <c r="AN156" s="1"/>
      <c r="AV156" s="1"/>
    </row>
    <row r="157" spans="19:48" s="21" customFormat="1" ht="22.5" customHeight="1" x14ac:dyDescent="0.25">
      <c r="S157" s="1"/>
      <c r="V157" s="141"/>
      <c r="W157" s="141"/>
      <c r="AF157" s="1"/>
      <c r="AN157" s="1"/>
      <c r="AV157" s="1"/>
    </row>
    <row r="158" spans="19:48" s="21" customFormat="1" ht="22.5" customHeight="1" x14ac:dyDescent="0.25">
      <c r="S158" s="1"/>
      <c r="V158" s="141"/>
      <c r="W158" s="141"/>
      <c r="AF158" s="1"/>
      <c r="AN158" s="1"/>
      <c r="AV158" s="1"/>
    </row>
    <row r="159" spans="19:48" s="21" customFormat="1" ht="22.5" customHeight="1" x14ac:dyDescent="0.25">
      <c r="S159" s="1"/>
      <c r="V159" s="141"/>
      <c r="W159" s="141"/>
      <c r="AF159" s="1"/>
      <c r="AN159" s="1"/>
      <c r="AV159" s="1"/>
    </row>
    <row r="160" spans="19:48" s="21" customFormat="1" ht="22.5" customHeight="1" x14ac:dyDescent="0.25">
      <c r="S160" s="1"/>
      <c r="V160" s="141"/>
      <c r="W160" s="141"/>
      <c r="AF160" s="1"/>
      <c r="AN160" s="1"/>
      <c r="AV160" s="1"/>
    </row>
    <row r="161" spans="19:48" s="21" customFormat="1" ht="22.5" customHeight="1" x14ac:dyDescent="0.25">
      <c r="S161" s="1"/>
      <c r="V161" s="141"/>
      <c r="W161" s="141"/>
      <c r="AF161" s="1"/>
      <c r="AN161" s="1"/>
      <c r="AV161" s="1"/>
    </row>
    <row r="162" spans="19:48" s="21" customFormat="1" ht="22.5" customHeight="1" x14ac:dyDescent="0.25">
      <c r="S162" s="1"/>
      <c r="V162" s="141"/>
      <c r="W162" s="141"/>
      <c r="AF162" s="1"/>
      <c r="AN162" s="1"/>
      <c r="AV162" s="1"/>
    </row>
    <row r="163" spans="19:48" s="21" customFormat="1" ht="22.5" customHeight="1" x14ac:dyDescent="0.25">
      <c r="S163" s="1"/>
      <c r="V163" s="141"/>
      <c r="W163" s="141"/>
      <c r="AF163" s="1"/>
      <c r="AN163" s="1"/>
      <c r="AV163" s="1"/>
    </row>
    <row r="164" spans="19:48" s="21" customFormat="1" ht="22.5" customHeight="1" x14ac:dyDescent="0.25">
      <c r="S164" s="1"/>
      <c r="V164" s="141"/>
      <c r="W164" s="141"/>
      <c r="AF164" s="1"/>
      <c r="AN164" s="1"/>
      <c r="AV164" s="1"/>
    </row>
    <row r="165" spans="19:48" s="21" customFormat="1" ht="22.5" customHeight="1" x14ac:dyDescent="0.25">
      <c r="S165" s="1"/>
      <c r="V165" s="141"/>
      <c r="W165" s="141"/>
      <c r="AF165" s="1"/>
      <c r="AN165" s="1"/>
      <c r="AV165" s="1"/>
    </row>
    <row r="166" spans="19:48" s="21" customFormat="1" ht="22.5" customHeight="1" x14ac:dyDescent="0.25">
      <c r="S166" s="1"/>
      <c r="V166" s="141"/>
      <c r="W166" s="141"/>
      <c r="AF166" s="1"/>
      <c r="AN166" s="1"/>
      <c r="AV166" s="1"/>
    </row>
    <row r="167" spans="19:48" s="21" customFormat="1" ht="22.5" customHeight="1" x14ac:dyDescent="0.25">
      <c r="S167" s="1"/>
      <c r="V167" s="141"/>
      <c r="W167" s="141"/>
      <c r="AF167" s="1"/>
      <c r="AN167" s="1"/>
      <c r="AV167" s="1"/>
    </row>
    <row r="168" spans="19:48" s="21" customFormat="1" ht="22.5" customHeight="1" x14ac:dyDescent="0.25">
      <c r="S168" s="1"/>
      <c r="V168" s="141"/>
      <c r="W168" s="141"/>
      <c r="AF168" s="1"/>
      <c r="AN168" s="1"/>
      <c r="AV168" s="1"/>
    </row>
    <row r="169" spans="19:48" s="21" customFormat="1" ht="22.5" customHeight="1" x14ac:dyDescent="0.25">
      <c r="S169" s="1"/>
      <c r="V169" s="141"/>
      <c r="W169" s="141"/>
      <c r="AF169" s="1"/>
      <c r="AN169" s="1"/>
      <c r="AV169" s="1"/>
    </row>
    <row r="170" spans="19:48" s="21" customFormat="1" ht="22.5" customHeight="1" x14ac:dyDescent="0.25">
      <c r="S170" s="1"/>
      <c r="V170" s="141"/>
      <c r="W170" s="141"/>
      <c r="AF170" s="1"/>
      <c r="AN170" s="1"/>
      <c r="AV170" s="1"/>
    </row>
    <row r="171" spans="19:48" s="21" customFormat="1" ht="22.5" customHeight="1" x14ac:dyDescent="0.25">
      <c r="S171" s="1"/>
      <c r="V171" s="141"/>
      <c r="W171" s="141"/>
      <c r="AF171" s="1"/>
      <c r="AN171" s="1"/>
      <c r="AV171" s="1"/>
    </row>
    <row r="172" spans="19:48" s="21" customFormat="1" ht="22.5" customHeight="1" x14ac:dyDescent="0.25">
      <c r="S172" s="1"/>
      <c r="V172" s="141"/>
      <c r="W172" s="141"/>
      <c r="AF172" s="1"/>
      <c r="AN172" s="1"/>
      <c r="AV172" s="1"/>
    </row>
    <row r="173" spans="19:48" s="21" customFormat="1" ht="22.5" customHeight="1" x14ac:dyDescent="0.25">
      <c r="S173" s="1"/>
      <c r="V173" s="141"/>
      <c r="W173" s="141"/>
      <c r="AF173" s="1"/>
      <c r="AN173" s="1"/>
      <c r="AV173" s="1"/>
    </row>
    <row r="174" spans="19:48" s="21" customFormat="1" ht="22.5" customHeight="1" x14ac:dyDescent="0.25">
      <c r="S174" s="1"/>
      <c r="V174" s="141"/>
      <c r="W174" s="141"/>
      <c r="AF174" s="1"/>
      <c r="AN174" s="1"/>
      <c r="AV174" s="1"/>
    </row>
    <row r="175" spans="19:48" s="21" customFormat="1" ht="22.5" customHeight="1" x14ac:dyDescent="0.25">
      <c r="S175" s="1"/>
      <c r="V175" s="141"/>
      <c r="W175" s="141"/>
      <c r="AF175" s="1"/>
      <c r="AN175" s="1"/>
      <c r="AV175" s="1"/>
    </row>
    <row r="176" spans="19:48" s="21" customFormat="1" ht="22.5" customHeight="1" x14ac:dyDescent="0.25">
      <c r="S176" s="1"/>
      <c r="V176" s="141"/>
      <c r="W176" s="141"/>
      <c r="AF176" s="1"/>
      <c r="AN176" s="1"/>
      <c r="AV176" s="1"/>
    </row>
    <row r="177" spans="19:48" s="21" customFormat="1" ht="22.5" customHeight="1" x14ac:dyDescent="0.25">
      <c r="S177" s="1"/>
      <c r="V177" s="141"/>
      <c r="W177" s="141"/>
      <c r="AF177" s="1"/>
      <c r="AN177" s="1"/>
      <c r="AV177" s="1"/>
    </row>
    <row r="178" spans="19:48" s="21" customFormat="1" ht="22.5" customHeight="1" x14ac:dyDescent="0.25">
      <c r="S178" s="1"/>
      <c r="V178" s="141"/>
      <c r="W178" s="141"/>
      <c r="AF178" s="1"/>
      <c r="AN178" s="1"/>
      <c r="AV178" s="1"/>
    </row>
    <row r="179" spans="19:48" s="21" customFormat="1" ht="22.5" customHeight="1" x14ac:dyDescent="0.25">
      <c r="S179" s="1"/>
      <c r="V179" s="141"/>
      <c r="W179" s="141"/>
      <c r="AF179" s="1"/>
      <c r="AN179" s="1"/>
      <c r="AV179" s="1"/>
    </row>
    <row r="180" spans="19:48" s="21" customFormat="1" ht="22.5" customHeight="1" x14ac:dyDescent="0.25">
      <c r="S180" s="1"/>
      <c r="V180" s="141"/>
      <c r="W180" s="141"/>
      <c r="AF180" s="1"/>
      <c r="AN180" s="1"/>
      <c r="AV180" s="1"/>
    </row>
    <row r="181" spans="19:48" s="21" customFormat="1" ht="22.5" customHeight="1" x14ac:dyDescent="0.25">
      <c r="S181" s="1"/>
      <c r="V181" s="141"/>
      <c r="W181" s="141"/>
      <c r="AF181" s="1"/>
      <c r="AN181" s="1"/>
      <c r="AV181" s="1"/>
    </row>
    <row r="182" spans="19:48" s="21" customFormat="1" ht="22.5" customHeight="1" x14ac:dyDescent="0.25">
      <c r="S182" s="1"/>
      <c r="V182" s="141"/>
      <c r="W182" s="141"/>
      <c r="AF182" s="1"/>
      <c r="AN182" s="1"/>
      <c r="AV182" s="1"/>
    </row>
    <row r="183" spans="19:48" s="21" customFormat="1" ht="22.5" customHeight="1" x14ac:dyDescent="0.25">
      <c r="S183" s="1"/>
      <c r="V183" s="141"/>
      <c r="W183" s="141"/>
      <c r="AF183" s="1"/>
      <c r="AN183" s="1"/>
      <c r="AV183" s="1"/>
    </row>
    <row r="184" spans="19:48" s="21" customFormat="1" ht="22.5" customHeight="1" x14ac:dyDescent="0.25">
      <c r="S184" s="1"/>
      <c r="V184" s="141"/>
      <c r="W184" s="141"/>
      <c r="AF184" s="1"/>
      <c r="AN184" s="1"/>
      <c r="AV184" s="1"/>
    </row>
    <row r="185" spans="19:48" s="21" customFormat="1" ht="22.5" customHeight="1" x14ac:dyDescent="0.25">
      <c r="S185" s="1"/>
      <c r="V185" s="141"/>
      <c r="W185" s="141"/>
      <c r="AF185" s="1"/>
      <c r="AN185" s="1"/>
      <c r="AV185" s="1"/>
    </row>
    <row r="186" spans="19:48" s="21" customFormat="1" ht="22.5" customHeight="1" x14ac:dyDescent="0.25">
      <c r="S186" s="1"/>
      <c r="V186" s="141"/>
      <c r="W186" s="141"/>
      <c r="AF186" s="1"/>
      <c r="AN186" s="1"/>
      <c r="AV186" s="1"/>
    </row>
    <row r="187" spans="19:48" s="21" customFormat="1" ht="22.5" customHeight="1" x14ac:dyDescent="0.25">
      <c r="S187" s="1"/>
      <c r="V187" s="141"/>
      <c r="W187" s="141"/>
      <c r="AF187" s="1"/>
      <c r="AN187" s="1"/>
      <c r="AV187" s="1"/>
    </row>
    <row r="188" spans="19:48" s="21" customFormat="1" ht="22.5" customHeight="1" x14ac:dyDescent="0.25">
      <c r="S188" s="1"/>
      <c r="V188" s="141"/>
      <c r="W188" s="141"/>
      <c r="AF188" s="1"/>
      <c r="AN188" s="1"/>
      <c r="AV188" s="1"/>
    </row>
    <row r="189" spans="19:48" s="21" customFormat="1" ht="22.5" customHeight="1" x14ac:dyDescent="0.25">
      <c r="S189" s="1"/>
      <c r="V189" s="141"/>
      <c r="W189" s="141"/>
      <c r="AF189" s="1"/>
      <c r="AN189" s="1"/>
      <c r="AV189" s="1"/>
    </row>
    <row r="190" spans="19:48" s="21" customFormat="1" ht="22.5" customHeight="1" x14ac:dyDescent="0.25">
      <c r="S190" s="1"/>
      <c r="V190" s="141"/>
      <c r="W190" s="141"/>
      <c r="AF190" s="1"/>
      <c r="AN190" s="1"/>
      <c r="AV190" s="1"/>
    </row>
    <row r="191" spans="19:48" s="21" customFormat="1" ht="22.5" customHeight="1" x14ac:dyDescent="0.25">
      <c r="S191" s="1"/>
      <c r="V191" s="141"/>
      <c r="W191" s="141"/>
      <c r="AF191" s="1"/>
      <c r="AN191" s="1"/>
      <c r="AV191" s="1"/>
    </row>
    <row r="192" spans="19:48" s="21" customFormat="1" ht="22.5" customHeight="1" x14ac:dyDescent="0.25">
      <c r="S192" s="1"/>
      <c r="V192" s="141"/>
      <c r="W192" s="141"/>
      <c r="AF192" s="1"/>
      <c r="AN192" s="1"/>
      <c r="AV192" s="1"/>
    </row>
    <row r="193" spans="19:48" s="21" customFormat="1" ht="22.5" customHeight="1" x14ac:dyDescent="0.25">
      <c r="S193" s="1"/>
      <c r="V193" s="141"/>
      <c r="W193" s="141"/>
      <c r="AF193" s="1"/>
      <c r="AN193" s="1"/>
      <c r="AV193" s="1"/>
    </row>
    <row r="194" spans="19:48" s="21" customFormat="1" ht="22.5" customHeight="1" x14ac:dyDescent="0.25">
      <c r="S194" s="1"/>
      <c r="V194" s="141"/>
      <c r="W194" s="141"/>
      <c r="AF194" s="1"/>
      <c r="AN194" s="1"/>
      <c r="AV194" s="1"/>
    </row>
    <row r="195" spans="19:48" s="21" customFormat="1" ht="22.5" customHeight="1" x14ac:dyDescent="0.25">
      <c r="S195" s="1"/>
      <c r="V195" s="141"/>
      <c r="W195" s="141"/>
      <c r="AF195" s="1"/>
      <c r="AN195" s="1"/>
      <c r="AV195" s="1"/>
    </row>
    <row r="196" spans="19:48" s="21" customFormat="1" ht="22.5" customHeight="1" x14ac:dyDescent="0.25">
      <c r="S196" s="1"/>
      <c r="V196" s="141"/>
      <c r="W196" s="141"/>
      <c r="AF196" s="1"/>
      <c r="AN196" s="1"/>
      <c r="AV196" s="1"/>
    </row>
    <row r="197" spans="19:48" s="21" customFormat="1" ht="22.5" customHeight="1" x14ac:dyDescent="0.25">
      <c r="S197" s="1"/>
      <c r="V197" s="141"/>
      <c r="W197" s="141"/>
      <c r="AF197" s="1"/>
      <c r="AN197" s="1"/>
      <c r="AV197" s="1"/>
    </row>
    <row r="198" spans="19:48" s="21" customFormat="1" ht="22.5" customHeight="1" x14ac:dyDescent="0.25">
      <c r="S198" s="1"/>
      <c r="V198" s="141"/>
      <c r="W198" s="141"/>
      <c r="AF198" s="1"/>
      <c r="AN198" s="1"/>
      <c r="AV198" s="1"/>
    </row>
    <row r="199" spans="19:48" s="21" customFormat="1" ht="22.5" customHeight="1" x14ac:dyDescent="0.25">
      <c r="S199" s="1"/>
      <c r="V199" s="141"/>
      <c r="W199" s="141"/>
      <c r="AF199" s="1"/>
      <c r="AN199" s="1"/>
      <c r="AV199" s="1"/>
    </row>
    <row r="200" spans="19:48" s="21" customFormat="1" ht="22.5" customHeight="1" x14ac:dyDescent="0.25">
      <c r="S200" s="1"/>
      <c r="V200" s="141"/>
      <c r="W200" s="141"/>
      <c r="AF200" s="1"/>
      <c r="AN200" s="1"/>
      <c r="AV200" s="1"/>
    </row>
    <row r="201" spans="19:48" s="21" customFormat="1" ht="22.5" customHeight="1" x14ac:dyDescent="0.25">
      <c r="S201" s="1"/>
      <c r="V201" s="141"/>
      <c r="W201" s="141"/>
      <c r="AF201" s="1"/>
      <c r="AN201" s="1"/>
      <c r="AV201" s="1"/>
    </row>
    <row r="202" spans="19:48" s="21" customFormat="1" ht="22.5" customHeight="1" x14ac:dyDescent="0.25">
      <c r="S202" s="1"/>
      <c r="V202" s="141"/>
      <c r="W202" s="141"/>
      <c r="AF202" s="1"/>
      <c r="AN202" s="1"/>
      <c r="AV202" s="1"/>
    </row>
    <row r="203" spans="19:48" s="21" customFormat="1" ht="22.5" customHeight="1" x14ac:dyDescent="0.25">
      <c r="S203" s="1"/>
      <c r="V203" s="141"/>
      <c r="W203" s="141"/>
      <c r="AF203" s="1"/>
      <c r="AN203" s="1"/>
      <c r="AV203" s="1"/>
    </row>
    <row r="204" spans="19:48" s="21" customFormat="1" ht="22.5" customHeight="1" x14ac:dyDescent="0.25">
      <c r="S204" s="1"/>
      <c r="V204" s="141"/>
      <c r="W204" s="141"/>
      <c r="AF204" s="1"/>
      <c r="AN204" s="1"/>
      <c r="AV204" s="1"/>
    </row>
    <row r="205" spans="19:48" s="21" customFormat="1" ht="22.5" customHeight="1" x14ac:dyDescent="0.25">
      <c r="S205" s="1"/>
      <c r="V205" s="141"/>
      <c r="W205" s="141"/>
      <c r="AF205" s="1"/>
      <c r="AN205" s="1"/>
      <c r="AV205" s="1"/>
    </row>
    <row r="206" spans="19:48" s="21" customFormat="1" ht="22.5" customHeight="1" x14ac:dyDescent="0.25">
      <c r="S206" s="1"/>
      <c r="V206" s="141"/>
      <c r="W206" s="141"/>
      <c r="AF206" s="1"/>
      <c r="AN206" s="1"/>
      <c r="AV206" s="1"/>
    </row>
    <row r="207" spans="19:48" s="21" customFormat="1" ht="22.5" customHeight="1" x14ac:dyDescent="0.25">
      <c r="S207" s="1"/>
      <c r="V207" s="141"/>
      <c r="W207" s="141"/>
      <c r="AF207" s="1"/>
      <c r="AN207" s="1"/>
      <c r="AV207" s="1"/>
    </row>
    <row r="208" spans="19:48" s="21" customFormat="1" ht="22.5" customHeight="1" x14ac:dyDescent="0.25">
      <c r="S208" s="1"/>
      <c r="V208" s="141"/>
      <c r="W208" s="141"/>
      <c r="AF208" s="1"/>
      <c r="AN208" s="1"/>
      <c r="AV208" s="1"/>
    </row>
    <row r="209" spans="19:48" s="21" customFormat="1" ht="22.5" customHeight="1" x14ac:dyDescent="0.25">
      <c r="S209" s="1"/>
      <c r="V209" s="141"/>
      <c r="W209" s="141"/>
      <c r="AF209" s="1"/>
      <c r="AN209" s="1"/>
      <c r="AV209" s="1"/>
    </row>
    <row r="210" spans="19:48" s="21" customFormat="1" ht="22.5" customHeight="1" x14ac:dyDescent="0.25">
      <c r="S210" s="1"/>
      <c r="V210" s="141"/>
      <c r="W210" s="141"/>
      <c r="AF210" s="1"/>
      <c r="AN210" s="1"/>
      <c r="AV210" s="1"/>
    </row>
    <row r="211" spans="19:48" s="21" customFormat="1" ht="22.5" customHeight="1" x14ac:dyDescent="0.25">
      <c r="S211" s="1"/>
      <c r="V211" s="141"/>
      <c r="W211" s="141"/>
      <c r="AF211" s="1"/>
      <c r="AN211" s="1"/>
      <c r="AV211" s="1"/>
    </row>
    <row r="212" spans="19:48" s="21" customFormat="1" ht="22.5" customHeight="1" x14ac:dyDescent="0.25">
      <c r="S212" s="1"/>
      <c r="V212" s="141"/>
      <c r="W212" s="141"/>
      <c r="AF212" s="1"/>
      <c r="AN212" s="1"/>
      <c r="AV212" s="1"/>
    </row>
    <row r="213" spans="19:48" s="21" customFormat="1" ht="22.5" customHeight="1" x14ac:dyDescent="0.25">
      <c r="S213" s="1"/>
      <c r="V213" s="141"/>
      <c r="W213" s="141"/>
      <c r="AF213" s="1"/>
      <c r="AN213" s="1"/>
      <c r="AV213" s="1"/>
    </row>
    <row r="214" spans="19:48" s="21" customFormat="1" ht="22.5" customHeight="1" x14ac:dyDescent="0.25">
      <c r="S214" s="1"/>
      <c r="V214" s="141"/>
      <c r="W214" s="141"/>
      <c r="AF214" s="1"/>
      <c r="AN214" s="1"/>
      <c r="AV214" s="1"/>
    </row>
    <row r="215" spans="19:48" s="21" customFormat="1" ht="22.5" customHeight="1" x14ac:dyDescent="0.25">
      <c r="S215" s="1"/>
      <c r="V215" s="141"/>
      <c r="W215" s="141"/>
      <c r="AF215" s="1"/>
      <c r="AN215" s="1"/>
      <c r="AV215" s="1"/>
    </row>
    <row r="216" spans="19:48" s="21" customFormat="1" ht="22.5" customHeight="1" x14ac:dyDescent="0.25">
      <c r="S216" s="1"/>
      <c r="V216" s="141"/>
      <c r="W216" s="141"/>
      <c r="AF216" s="1"/>
      <c r="AN216" s="1"/>
      <c r="AV216" s="1"/>
    </row>
    <row r="217" spans="19:48" s="21" customFormat="1" ht="22.5" customHeight="1" x14ac:dyDescent="0.25">
      <c r="S217" s="1"/>
      <c r="V217" s="141"/>
      <c r="W217" s="141"/>
      <c r="AF217" s="1"/>
      <c r="AN217" s="1"/>
      <c r="AV217" s="1"/>
    </row>
    <row r="218" spans="19:48" s="21" customFormat="1" ht="22.5" customHeight="1" x14ac:dyDescent="0.25">
      <c r="S218" s="1"/>
      <c r="V218" s="141"/>
      <c r="W218" s="141"/>
      <c r="AF218" s="1"/>
      <c r="AN218" s="1"/>
      <c r="AV218" s="1"/>
    </row>
    <row r="219" spans="19:48" s="21" customFormat="1" ht="22.5" customHeight="1" x14ac:dyDescent="0.25">
      <c r="S219" s="1"/>
      <c r="V219" s="141"/>
      <c r="W219" s="141"/>
      <c r="AF219" s="1"/>
      <c r="AN219" s="1"/>
      <c r="AV219" s="1"/>
    </row>
    <row r="220" spans="19:48" s="21" customFormat="1" ht="22.5" customHeight="1" x14ac:dyDescent="0.25">
      <c r="S220" s="1"/>
      <c r="V220" s="141"/>
      <c r="W220" s="141"/>
      <c r="AF220" s="1"/>
      <c r="AN220" s="1"/>
      <c r="AV220" s="1"/>
    </row>
    <row r="221" spans="19:48" s="21" customFormat="1" ht="22.5" customHeight="1" x14ac:dyDescent="0.25">
      <c r="S221" s="1"/>
      <c r="V221" s="141"/>
      <c r="W221" s="141"/>
      <c r="AF221" s="1"/>
      <c r="AN221" s="1"/>
      <c r="AV221" s="1"/>
    </row>
    <row r="222" spans="19:48" s="21" customFormat="1" ht="22.5" customHeight="1" x14ac:dyDescent="0.25">
      <c r="S222" s="1"/>
      <c r="V222" s="141"/>
      <c r="W222" s="141"/>
      <c r="AF222" s="1"/>
      <c r="AN222" s="1"/>
      <c r="AV222" s="1"/>
    </row>
    <row r="223" spans="19:48" s="21" customFormat="1" ht="22.5" customHeight="1" x14ac:dyDescent="0.25">
      <c r="S223" s="1"/>
      <c r="V223" s="141"/>
      <c r="W223" s="141"/>
      <c r="AF223" s="1"/>
      <c r="AN223" s="1"/>
      <c r="AV223" s="1"/>
    </row>
    <row r="224" spans="19:48" s="21" customFormat="1" ht="22.5" customHeight="1" x14ac:dyDescent="0.25">
      <c r="S224" s="1"/>
      <c r="V224" s="141"/>
      <c r="W224" s="141"/>
      <c r="AF224" s="1"/>
      <c r="AN224" s="1"/>
      <c r="AV224" s="1"/>
    </row>
    <row r="225" spans="19:48" s="21" customFormat="1" ht="22.5" customHeight="1" x14ac:dyDescent="0.25">
      <c r="S225" s="1"/>
      <c r="V225" s="141"/>
      <c r="W225" s="141"/>
      <c r="AF225" s="1"/>
      <c r="AN225" s="1"/>
      <c r="AV225" s="1"/>
    </row>
    <row r="226" spans="19:48" s="21" customFormat="1" ht="22.5" customHeight="1" x14ac:dyDescent="0.25">
      <c r="S226" s="1"/>
      <c r="V226" s="141"/>
      <c r="W226" s="141"/>
      <c r="AF226" s="1"/>
      <c r="AN226" s="1"/>
      <c r="AV226" s="1"/>
    </row>
    <row r="227" spans="19:48" s="21" customFormat="1" ht="22.5" customHeight="1" x14ac:dyDescent="0.25">
      <c r="S227" s="1"/>
      <c r="V227" s="141"/>
      <c r="W227" s="141"/>
      <c r="AF227" s="1"/>
      <c r="AN227" s="1"/>
      <c r="AV227" s="1"/>
    </row>
    <row r="228" spans="19:48" s="21" customFormat="1" ht="22.5" customHeight="1" x14ac:dyDescent="0.25">
      <c r="S228" s="1"/>
      <c r="V228" s="141"/>
      <c r="W228" s="141"/>
      <c r="AF228" s="1"/>
      <c r="AN228" s="1"/>
      <c r="AV228" s="1"/>
    </row>
    <row r="229" spans="19:48" s="21" customFormat="1" ht="22.5" customHeight="1" x14ac:dyDescent="0.25">
      <c r="S229" s="1"/>
      <c r="V229" s="141"/>
      <c r="W229" s="141"/>
      <c r="AF229" s="1"/>
      <c r="AN229" s="1"/>
      <c r="AV229" s="1"/>
    </row>
    <row r="230" spans="19:48" s="21" customFormat="1" ht="22.5" customHeight="1" x14ac:dyDescent="0.25">
      <c r="S230" s="1"/>
      <c r="V230" s="141"/>
      <c r="W230" s="141"/>
      <c r="AF230" s="1"/>
      <c r="AN230" s="1"/>
      <c r="AV230" s="1"/>
    </row>
    <row r="231" spans="19:48" s="21" customFormat="1" ht="22.5" customHeight="1" x14ac:dyDescent="0.25">
      <c r="S231" s="1"/>
      <c r="V231" s="141"/>
      <c r="W231" s="141"/>
      <c r="AF231" s="1"/>
      <c r="AN231" s="1"/>
      <c r="AV231" s="1"/>
    </row>
    <row r="232" spans="19:48" s="21" customFormat="1" ht="22.5" customHeight="1" x14ac:dyDescent="0.25">
      <c r="S232" s="1"/>
      <c r="V232" s="141"/>
      <c r="W232" s="141"/>
      <c r="AF232" s="1"/>
      <c r="AN232" s="1"/>
      <c r="AV232" s="1"/>
    </row>
    <row r="233" spans="19:48" s="21" customFormat="1" ht="22.5" customHeight="1" x14ac:dyDescent="0.25">
      <c r="S233" s="1"/>
      <c r="V233" s="141"/>
      <c r="W233" s="141"/>
      <c r="AF233" s="1"/>
      <c r="AN233" s="1"/>
      <c r="AV233" s="1"/>
    </row>
    <row r="234" spans="19:48" s="21" customFormat="1" ht="22.5" customHeight="1" x14ac:dyDescent="0.25">
      <c r="S234" s="1"/>
      <c r="V234" s="141"/>
      <c r="W234" s="141"/>
      <c r="AF234" s="1"/>
      <c r="AN234" s="1"/>
      <c r="AV234" s="1"/>
    </row>
    <row r="235" spans="19:48" s="21" customFormat="1" ht="22.5" customHeight="1" x14ac:dyDescent="0.25">
      <c r="S235" s="1"/>
      <c r="V235" s="141"/>
      <c r="W235" s="141"/>
      <c r="AF235" s="1"/>
      <c r="AN235" s="1"/>
      <c r="AV235" s="1"/>
    </row>
    <row r="236" spans="19:48" s="21" customFormat="1" ht="22.5" customHeight="1" x14ac:dyDescent="0.25">
      <c r="S236" s="1"/>
      <c r="V236" s="141"/>
      <c r="W236" s="141"/>
      <c r="AF236" s="1"/>
      <c r="AN236" s="1"/>
      <c r="AV236" s="1"/>
    </row>
    <row r="237" spans="19:48" s="21" customFormat="1" ht="22.5" customHeight="1" x14ac:dyDescent="0.25">
      <c r="S237" s="1"/>
      <c r="V237" s="141"/>
      <c r="W237" s="141"/>
      <c r="AF237" s="1"/>
      <c r="AN237" s="1"/>
      <c r="AV237" s="1"/>
    </row>
    <row r="238" spans="19:48" s="21" customFormat="1" ht="22.5" customHeight="1" x14ac:dyDescent="0.25">
      <c r="S238" s="1"/>
      <c r="V238" s="141"/>
      <c r="W238" s="141"/>
      <c r="AF238" s="1"/>
      <c r="AN238" s="1"/>
      <c r="AV238" s="1"/>
    </row>
    <row r="239" spans="19:48" s="21" customFormat="1" ht="22.5" customHeight="1" x14ac:dyDescent="0.25">
      <c r="S239" s="1"/>
      <c r="V239" s="141"/>
      <c r="W239" s="141"/>
      <c r="AF239" s="1"/>
      <c r="AN239" s="1"/>
      <c r="AV239" s="1"/>
    </row>
    <row r="240" spans="19:48" s="21" customFormat="1" ht="22.5" customHeight="1" x14ac:dyDescent="0.25">
      <c r="S240" s="1"/>
      <c r="V240" s="141"/>
      <c r="W240" s="141"/>
      <c r="AF240" s="1"/>
      <c r="AN240" s="1"/>
      <c r="AV240" s="1"/>
    </row>
    <row r="241" spans="19:48" s="21" customFormat="1" ht="22.5" customHeight="1" x14ac:dyDescent="0.25">
      <c r="S241" s="1"/>
      <c r="V241" s="141"/>
      <c r="W241" s="141"/>
      <c r="AF241" s="1"/>
      <c r="AN241" s="1"/>
      <c r="AV241" s="1"/>
    </row>
    <row r="242" spans="19:48" s="21" customFormat="1" ht="22.5" customHeight="1" x14ac:dyDescent="0.25">
      <c r="S242" s="1"/>
      <c r="V242" s="141"/>
      <c r="W242" s="141"/>
      <c r="AF242" s="1"/>
      <c r="AN242" s="1"/>
      <c r="AV242" s="1"/>
    </row>
    <row r="243" spans="19:48" s="21" customFormat="1" ht="22.5" customHeight="1" x14ac:dyDescent="0.25">
      <c r="S243" s="1"/>
      <c r="V243" s="141"/>
      <c r="W243" s="141"/>
      <c r="AF243" s="1"/>
      <c r="AN243" s="1"/>
      <c r="AV243" s="1"/>
    </row>
    <row r="244" spans="19:48" s="21" customFormat="1" ht="22.5" customHeight="1" x14ac:dyDescent="0.25">
      <c r="S244" s="1"/>
      <c r="V244" s="141"/>
      <c r="W244" s="141"/>
      <c r="AF244" s="1"/>
      <c r="AN244" s="1"/>
      <c r="AV244" s="1"/>
    </row>
    <row r="245" spans="19:48" s="21" customFormat="1" ht="22.5" customHeight="1" x14ac:dyDescent="0.25">
      <c r="S245" s="1"/>
      <c r="V245" s="141"/>
      <c r="W245" s="141"/>
      <c r="AF245" s="1"/>
      <c r="AN245" s="1"/>
      <c r="AV245" s="1"/>
    </row>
    <row r="246" spans="19:48" s="21" customFormat="1" ht="22.5" customHeight="1" x14ac:dyDescent="0.25">
      <c r="S246" s="1"/>
      <c r="V246" s="141"/>
      <c r="W246" s="141"/>
      <c r="AF246" s="1"/>
      <c r="AN246" s="1"/>
      <c r="AV246" s="1"/>
    </row>
    <row r="247" spans="19:48" s="21" customFormat="1" ht="22.5" customHeight="1" x14ac:dyDescent="0.25">
      <c r="S247" s="1"/>
      <c r="V247" s="141"/>
      <c r="W247" s="141"/>
      <c r="AF247" s="1"/>
      <c r="AN247" s="1"/>
      <c r="AV247" s="1"/>
    </row>
    <row r="248" spans="19:48" s="21" customFormat="1" ht="22.5" customHeight="1" x14ac:dyDescent="0.25">
      <c r="S248" s="1"/>
      <c r="V248" s="141"/>
      <c r="W248" s="141"/>
      <c r="AF248" s="1"/>
      <c r="AN248" s="1"/>
      <c r="AV248" s="1"/>
    </row>
    <row r="249" spans="19:48" s="21" customFormat="1" ht="22.5" customHeight="1" x14ac:dyDescent="0.25">
      <c r="S249" s="1"/>
      <c r="V249" s="141"/>
      <c r="W249" s="141"/>
      <c r="AF249" s="1"/>
      <c r="AN249" s="1"/>
      <c r="AV249" s="1"/>
    </row>
    <row r="250" spans="19:48" s="21" customFormat="1" ht="22.5" customHeight="1" x14ac:dyDescent="0.25">
      <c r="S250" s="1"/>
      <c r="V250" s="141"/>
      <c r="W250" s="141"/>
      <c r="AF250" s="1"/>
      <c r="AN250" s="1"/>
      <c r="AV250" s="1"/>
    </row>
    <row r="251" spans="19:48" s="21" customFormat="1" ht="22.5" customHeight="1" x14ac:dyDescent="0.25">
      <c r="S251" s="1"/>
      <c r="V251" s="141"/>
      <c r="W251" s="141"/>
      <c r="AF251" s="1"/>
      <c r="AN251" s="1"/>
      <c r="AV251" s="1"/>
    </row>
    <row r="252" spans="19:48" s="21" customFormat="1" ht="22.5" customHeight="1" x14ac:dyDescent="0.25">
      <c r="S252" s="1"/>
      <c r="V252" s="141"/>
      <c r="W252" s="141"/>
      <c r="AF252" s="1"/>
      <c r="AN252" s="1"/>
      <c r="AV252" s="1"/>
    </row>
    <row r="253" spans="19:48" s="21" customFormat="1" ht="22.5" customHeight="1" x14ac:dyDescent="0.25">
      <c r="S253" s="1"/>
      <c r="V253" s="141"/>
      <c r="W253" s="141"/>
      <c r="AF253" s="1"/>
      <c r="AN253" s="1"/>
      <c r="AV253" s="1"/>
    </row>
    <row r="254" spans="19:48" s="21" customFormat="1" ht="22.5" customHeight="1" x14ac:dyDescent="0.25">
      <c r="S254" s="1"/>
      <c r="V254" s="141"/>
      <c r="W254" s="141"/>
      <c r="AF254" s="1"/>
      <c r="AN254" s="1"/>
      <c r="AV254" s="1"/>
    </row>
    <row r="255" spans="19:48" s="21" customFormat="1" ht="22.5" customHeight="1" x14ac:dyDescent="0.25">
      <c r="S255" s="1"/>
      <c r="V255" s="141"/>
      <c r="W255" s="141"/>
      <c r="AF255" s="1"/>
      <c r="AN255" s="1"/>
      <c r="AV255" s="1"/>
    </row>
    <row r="256" spans="19:48" s="21" customFormat="1" ht="22.5" customHeight="1" x14ac:dyDescent="0.25">
      <c r="S256" s="1"/>
      <c r="V256" s="141"/>
      <c r="W256" s="141"/>
      <c r="AF256" s="1"/>
      <c r="AN256" s="1"/>
      <c r="AV256" s="1"/>
    </row>
    <row r="257" spans="19:48" s="21" customFormat="1" ht="22.5" customHeight="1" x14ac:dyDescent="0.25">
      <c r="S257" s="1"/>
      <c r="V257" s="141"/>
      <c r="W257" s="141"/>
      <c r="AF257" s="1"/>
      <c r="AN257" s="1"/>
      <c r="AV257" s="1"/>
    </row>
    <row r="258" spans="19:48" s="21" customFormat="1" ht="22.5" customHeight="1" x14ac:dyDescent="0.25">
      <c r="S258" s="1"/>
      <c r="V258" s="141"/>
      <c r="W258" s="141"/>
      <c r="AF258" s="1"/>
      <c r="AN258" s="1"/>
      <c r="AV258" s="1"/>
    </row>
    <row r="259" spans="19:48" s="21" customFormat="1" ht="22.5" customHeight="1" x14ac:dyDescent="0.25">
      <c r="S259" s="1"/>
      <c r="V259" s="141"/>
      <c r="W259" s="141"/>
      <c r="AF259" s="1"/>
      <c r="AN259" s="1"/>
      <c r="AV259" s="1"/>
    </row>
    <row r="260" spans="19:48" s="21" customFormat="1" ht="22.5" customHeight="1" x14ac:dyDescent="0.25">
      <c r="S260" s="1"/>
      <c r="V260" s="141"/>
      <c r="W260" s="141"/>
      <c r="AF260" s="1"/>
      <c r="AN260" s="1"/>
      <c r="AV260" s="1"/>
    </row>
    <row r="261" spans="19:48" s="21" customFormat="1" ht="22.5" customHeight="1" x14ac:dyDescent="0.25">
      <c r="S261" s="1"/>
      <c r="V261" s="141"/>
      <c r="W261" s="141"/>
      <c r="AF261" s="1"/>
      <c r="AN261" s="1"/>
      <c r="AV261" s="1"/>
    </row>
    <row r="262" spans="19:48" s="21" customFormat="1" ht="22.5" customHeight="1" x14ac:dyDescent="0.25">
      <c r="S262" s="1"/>
      <c r="V262" s="141"/>
      <c r="W262" s="141"/>
      <c r="AF262" s="1"/>
      <c r="AN262" s="1"/>
      <c r="AV262" s="1"/>
    </row>
    <row r="263" spans="19:48" s="21" customFormat="1" ht="22.5" customHeight="1" x14ac:dyDescent="0.25">
      <c r="S263" s="1"/>
      <c r="V263" s="141"/>
      <c r="W263" s="141"/>
      <c r="AF263" s="1"/>
      <c r="AN263" s="1"/>
      <c r="AV263" s="1"/>
    </row>
    <row r="264" spans="19:48" s="21" customFormat="1" ht="22.5" customHeight="1" x14ac:dyDescent="0.25">
      <c r="S264" s="1"/>
      <c r="V264" s="141"/>
      <c r="W264" s="141"/>
      <c r="AF264" s="1"/>
      <c r="AN264" s="1"/>
      <c r="AV264" s="1"/>
    </row>
    <row r="265" spans="19:48" s="21" customFormat="1" ht="22.5" customHeight="1" x14ac:dyDescent="0.25">
      <c r="S265" s="1"/>
      <c r="V265" s="141"/>
      <c r="W265" s="141"/>
      <c r="AF265" s="1"/>
      <c r="AN265" s="1"/>
      <c r="AV265" s="1"/>
    </row>
    <row r="266" spans="19:48" s="21" customFormat="1" ht="22.5" customHeight="1" x14ac:dyDescent="0.25">
      <c r="S266" s="1"/>
      <c r="V266" s="141"/>
      <c r="W266" s="141"/>
      <c r="AF266" s="1"/>
      <c r="AN266" s="1"/>
      <c r="AV266" s="1"/>
    </row>
    <row r="267" spans="19:48" s="21" customFormat="1" ht="22.5" customHeight="1" x14ac:dyDescent="0.25">
      <c r="S267" s="1"/>
      <c r="V267" s="141"/>
      <c r="W267" s="141"/>
      <c r="AF267" s="1"/>
      <c r="AN267" s="1"/>
      <c r="AV267" s="1"/>
    </row>
    <row r="268" spans="19:48" s="21" customFormat="1" ht="22.5" customHeight="1" x14ac:dyDescent="0.25">
      <c r="S268" s="1"/>
      <c r="V268" s="141"/>
      <c r="W268" s="141"/>
      <c r="AF268" s="1"/>
      <c r="AN268" s="1"/>
      <c r="AV268" s="1"/>
    </row>
    <row r="269" spans="19:48" s="21" customFormat="1" ht="22.5" customHeight="1" x14ac:dyDescent="0.25">
      <c r="S269" s="1"/>
      <c r="V269" s="141"/>
      <c r="W269" s="141"/>
      <c r="AF269" s="1"/>
      <c r="AN269" s="1"/>
      <c r="AV269" s="1"/>
    </row>
    <row r="270" spans="19:48" s="21" customFormat="1" ht="22.5" customHeight="1" x14ac:dyDescent="0.25">
      <c r="S270" s="1"/>
      <c r="V270" s="141"/>
      <c r="W270" s="141"/>
      <c r="AF270" s="1"/>
      <c r="AN270" s="1"/>
      <c r="AV270" s="1"/>
    </row>
    <row r="271" spans="19:48" s="21" customFormat="1" ht="22.5" customHeight="1" x14ac:dyDescent="0.25">
      <c r="S271" s="1"/>
      <c r="V271" s="141"/>
      <c r="W271" s="141"/>
      <c r="AF271" s="1"/>
      <c r="AN271" s="1"/>
      <c r="AV271" s="1"/>
    </row>
    <row r="272" spans="19:48" s="21" customFormat="1" ht="22.5" customHeight="1" x14ac:dyDescent="0.25">
      <c r="S272" s="1"/>
      <c r="V272" s="141"/>
      <c r="W272" s="141"/>
      <c r="AF272" s="1"/>
      <c r="AN272" s="1"/>
      <c r="AV272" s="1"/>
    </row>
    <row r="273" spans="19:48" s="21" customFormat="1" ht="22.5" customHeight="1" x14ac:dyDescent="0.25">
      <c r="S273" s="1"/>
      <c r="V273" s="141"/>
      <c r="W273" s="141"/>
      <c r="AF273" s="1"/>
      <c r="AN273" s="1"/>
      <c r="AV273" s="1"/>
    </row>
    <row r="274" spans="19:48" s="21" customFormat="1" ht="22.5" customHeight="1" x14ac:dyDescent="0.25">
      <c r="S274" s="1"/>
      <c r="V274" s="141"/>
      <c r="W274" s="141"/>
      <c r="AF274" s="1"/>
      <c r="AN274" s="1"/>
      <c r="AV274" s="1"/>
    </row>
    <row r="275" spans="19:48" s="21" customFormat="1" ht="22.5" customHeight="1" x14ac:dyDescent="0.25">
      <c r="S275" s="1"/>
      <c r="V275" s="141"/>
      <c r="W275" s="141"/>
      <c r="AF275" s="1"/>
      <c r="AN275" s="1"/>
      <c r="AV275" s="1"/>
    </row>
    <row r="276" spans="19:48" s="21" customFormat="1" ht="22.5" customHeight="1" x14ac:dyDescent="0.25">
      <c r="S276" s="1"/>
      <c r="V276" s="141"/>
      <c r="W276" s="141"/>
      <c r="AF276" s="1"/>
      <c r="AN276" s="1"/>
      <c r="AV276" s="1"/>
    </row>
    <row r="277" spans="19:48" s="21" customFormat="1" ht="22.5" customHeight="1" x14ac:dyDescent="0.25">
      <c r="S277" s="1"/>
      <c r="V277" s="141"/>
      <c r="W277" s="141"/>
      <c r="AF277" s="1"/>
      <c r="AN277" s="1"/>
      <c r="AV277" s="1"/>
    </row>
    <row r="278" spans="19:48" s="21" customFormat="1" ht="22.5" customHeight="1" x14ac:dyDescent="0.25">
      <c r="S278" s="1"/>
      <c r="V278" s="141"/>
      <c r="W278" s="141"/>
      <c r="AF278" s="1"/>
      <c r="AN278" s="1"/>
      <c r="AV278" s="1"/>
    </row>
    <row r="279" spans="19:48" s="21" customFormat="1" ht="22.5" customHeight="1" x14ac:dyDescent="0.25">
      <c r="S279" s="1"/>
      <c r="V279" s="141"/>
      <c r="W279" s="141"/>
      <c r="AF279" s="1"/>
      <c r="AN279" s="1"/>
      <c r="AV279" s="1"/>
    </row>
    <row r="280" spans="19:48" s="21" customFormat="1" ht="22.5" customHeight="1" x14ac:dyDescent="0.25">
      <c r="S280" s="1"/>
      <c r="V280" s="141"/>
      <c r="W280" s="141"/>
      <c r="AF280" s="1"/>
      <c r="AN280" s="1"/>
      <c r="AV280" s="1"/>
    </row>
    <row r="281" spans="19:48" s="21" customFormat="1" ht="22.5" customHeight="1" x14ac:dyDescent="0.25">
      <c r="S281" s="1"/>
      <c r="V281" s="141"/>
      <c r="W281" s="141"/>
      <c r="AF281" s="1"/>
      <c r="AN281" s="1"/>
      <c r="AV281" s="1"/>
    </row>
    <row r="282" spans="19:48" s="21" customFormat="1" ht="22.5" customHeight="1" x14ac:dyDescent="0.25">
      <c r="S282" s="1"/>
      <c r="V282" s="141"/>
      <c r="W282" s="141"/>
      <c r="AF282" s="1"/>
      <c r="AN282" s="1"/>
      <c r="AV282" s="1"/>
    </row>
    <row r="283" spans="19:48" s="21" customFormat="1" ht="22.5" customHeight="1" x14ac:dyDescent="0.25">
      <c r="S283" s="1"/>
      <c r="V283" s="141"/>
      <c r="W283" s="141"/>
      <c r="AF283" s="1"/>
      <c r="AN283" s="1"/>
      <c r="AV283" s="1"/>
    </row>
    <row r="284" spans="19:48" s="21" customFormat="1" ht="22.5" customHeight="1" x14ac:dyDescent="0.25">
      <c r="S284" s="1"/>
      <c r="V284" s="141"/>
      <c r="W284" s="141"/>
      <c r="AF284" s="1"/>
      <c r="AN284" s="1"/>
      <c r="AV284" s="1"/>
    </row>
    <row r="285" spans="19:48" s="21" customFormat="1" ht="22.5" customHeight="1" x14ac:dyDescent="0.25">
      <c r="S285" s="1"/>
      <c r="V285" s="141"/>
      <c r="W285" s="141"/>
      <c r="AF285" s="1"/>
      <c r="AN285" s="1"/>
      <c r="AV285" s="1"/>
    </row>
    <row r="286" spans="19:48" s="21" customFormat="1" ht="22.5" customHeight="1" x14ac:dyDescent="0.25">
      <c r="S286" s="1"/>
      <c r="V286" s="141"/>
      <c r="W286" s="141"/>
      <c r="AF286" s="1"/>
      <c r="AN286" s="1"/>
      <c r="AV286" s="1"/>
    </row>
    <row r="287" spans="19:48" s="21" customFormat="1" ht="22.5" customHeight="1" x14ac:dyDescent="0.25">
      <c r="S287" s="1"/>
      <c r="V287" s="141"/>
      <c r="W287" s="141"/>
      <c r="AF287" s="1"/>
      <c r="AN287" s="1"/>
      <c r="AV287" s="1"/>
    </row>
    <row r="288" spans="19:48" s="21" customFormat="1" ht="22.5" customHeight="1" x14ac:dyDescent="0.25">
      <c r="S288" s="1"/>
      <c r="V288" s="141"/>
      <c r="W288" s="141"/>
      <c r="AF288" s="1"/>
      <c r="AN288" s="1"/>
      <c r="AV288" s="1"/>
    </row>
    <row r="289" spans="19:48" s="21" customFormat="1" ht="22.5" customHeight="1" x14ac:dyDescent="0.25">
      <c r="S289" s="1"/>
      <c r="V289" s="141"/>
      <c r="W289" s="141"/>
      <c r="AF289" s="1"/>
      <c r="AN289" s="1"/>
      <c r="AV289" s="1"/>
    </row>
    <row r="290" spans="19:48" s="21" customFormat="1" ht="22.5" customHeight="1" x14ac:dyDescent="0.25">
      <c r="S290" s="1"/>
      <c r="V290" s="141"/>
      <c r="W290" s="141"/>
      <c r="AF290" s="1"/>
      <c r="AN290" s="1"/>
      <c r="AV290" s="1"/>
    </row>
    <row r="291" spans="19:48" s="21" customFormat="1" ht="22.5" customHeight="1" x14ac:dyDescent="0.25">
      <c r="S291" s="1"/>
      <c r="V291" s="141"/>
      <c r="W291" s="141"/>
      <c r="AF291" s="1"/>
      <c r="AN291" s="1"/>
      <c r="AV291" s="1"/>
    </row>
    <row r="292" spans="19:48" s="21" customFormat="1" ht="22.5" customHeight="1" x14ac:dyDescent="0.25">
      <c r="S292" s="1"/>
      <c r="V292" s="141"/>
      <c r="W292" s="141"/>
      <c r="AF292" s="1"/>
      <c r="AN292" s="1"/>
      <c r="AV292" s="1"/>
    </row>
    <row r="293" spans="19:48" s="21" customFormat="1" ht="22.5" customHeight="1" x14ac:dyDescent="0.25">
      <c r="S293" s="1"/>
      <c r="V293" s="141"/>
      <c r="W293" s="141"/>
      <c r="AF293" s="1"/>
      <c r="AN293" s="1"/>
      <c r="AV293" s="1"/>
    </row>
    <row r="294" spans="19:48" s="21" customFormat="1" ht="22.5" customHeight="1" x14ac:dyDescent="0.25">
      <c r="S294" s="1"/>
      <c r="V294" s="141"/>
      <c r="W294" s="141"/>
      <c r="AF294" s="1"/>
      <c r="AN294" s="1"/>
      <c r="AV294" s="1"/>
    </row>
    <row r="295" spans="19:48" s="21" customFormat="1" ht="22.5" customHeight="1" x14ac:dyDescent="0.25">
      <c r="S295" s="1"/>
      <c r="V295" s="141"/>
      <c r="W295" s="141"/>
      <c r="AF295" s="1"/>
      <c r="AN295" s="1"/>
      <c r="AV295" s="1"/>
    </row>
    <row r="296" spans="19:48" s="21" customFormat="1" ht="22.5" customHeight="1" x14ac:dyDescent="0.25">
      <c r="S296" s="1"/>
      <c r="V296" s="141"/>
      <c r="W296" s="141"/>
      <c r="AF296" s="1"/>
      <c r="AN296" s="1"/>
      <c r="AV296" s="1"/>
    </row>
    <row r="297" spans="19:48" s="21" customFormat="1" ht="22.5" customHeight="1" x14ac:dyDescent="0.25">
      <c r="S297" s="1"/>
      <c r="V297" s="141"/>
      <c r="W297" s="141"/>
      <c r="AF297" s="1"/>
      <c r="AN297" s="1"/>
      <c r="AV297" s="1"/>
    </row>
    <row r="298" spans="19:48" s="21" customFormat="1" ht="22.5" customHeight="1" x14ac:dyDescent="0.25">
      <c r="S298" s="1"/>
      <c r="V298" s="141"/>
      <c r="W298" s="141"/>
      <c r="AF298" s="1"/>
      <c r="AN298" s="1"/>
      <c r="AV298" s="1"/>
    </row>
    <row r="299" spans="19:48" s="21" customFormat="1" ht="22.5" customHeight="1" x14ac:dyDescent="0.25">
      <c r="S299" s="1"/>
      <c r="V299" s="141"/>
      <c r="W299" s="141"/>
      <c r="AF299" s="1"/>
      <c r="AN299" s="1"/>
      <c r="AV299" s="1"/>
    </row>
    <row r="300" spans="19:48" s="21" customFormat="1" ht="22.5" customHeight="1" x14ac:dyDescent="0.25">
      <c r="S300" s="1"/>
      <c r="V300" s="141"/>
      <c r="W300" s="141"/>
      <c r="AF300" s="1"/>
      <c r="AN300" s="1"/>
      <c r="AV300" s="1"/>
    </row>
    <row r="301" spans="19:48" s="21" customFormat="1" ht="22.5" customHeight="1" x14ac:dyDescent="0.25">
      <c r="S301" s="1"/>
      <c r="V301" s="141"/>
      <c r="W301" s="141"/>
      <c r="AF301" s="1"/>
      <c r="AN301" s="1"/>
      <c r="AV301" s="1"/>
    </row>
    <row r="302" spans="19:48" s="21" customFormat="1" ht="22.5" customHeight="1" x14ac:dyDescent="0.25">
      <c r="S302" s="1"/>
      <c r="V302" s="141"/>
      <c r="W302" s="141"/>
      <c r="AF302" s="1"/>
      <c r="AN302" s="1"/>
      <c r="AV302" s="1"/>
    </row>
    <row r="303" spans="19:48" s="21" customFormat="1" ht="22.5" customHeight="1" x14ac:dyDescent="0.25">
      <c r="S303" s="1"/>
      <c r="V303" s="141"/>
      <c r="W303" s="141"/>
      <c r="AF303" s="1"/>
      <c r="AN303" s="1"/>
      <c r="AV303" s="1"/>
    </row>
    <row r="304" spans="19:48" s="21" customFormat="1" ht="22.5" customHeight="1" x14ac:dyDescent="0.25">
      <c r="S304" s="1"/>
      <c r="V304" s="141"/>
      <c r="W304" s="141"/>
      <c r="AF304" s="1"/>
      <c r="AN304" s="1"/>
      <c r="AV304" s="1"/>
    </row>
    <row r="305" spans="19:48" s="21" customFormat="1" ht="22.5" customHeight="1" x14ac:dyDescent="0.25">
      <c r="S305" s="1"/>
      <c r="V305" s="141"/>
      <c r="W305" s="141"/>
      <c r="AF305" s="1"/>
      <c r="AN305" s="1"/>
      <c r="AV305" s="1"/>
    </row>
    <row r="306" spans="19:48" s="21" customFormat="1" ht="22.5" customHeight="1" x14ac:dyDescent="0.25">
      <c r="S306" s="1"/>
      <c r="V306" s="141"/>
      <c r="W306" s="141"/>
      <c r="AF306" s="1"/>
      <c r="AN306" s="1"/>
      <c r="AV306" s="1"/>
    </row>
    <row r="307" spans="19:48" s="21" customFormat="1" ht="22.5" customHeight="1" x14ac:dyDescent="0.25">
      <c r="S307" s="1"/>
      <c r="V307" s="141"/>
      <c r="W307" s="141"/>
      <c r="AF307" s="1"/>
      <c r="AN307" s="1"/>
      <c r="AV307" s="1"/>
    </row>
    <row r="308" spans="19:48" s="21" customFormat="1" ht="22.5" customHeight="1" x14ac:dyDescent="0.25">
      <c r="S308" s="1"/>
      <c r="V308" s="141"/>
      <c r="W308" s="141"/>
      <c r="AF308" s="1"/>
      <c r="AN308" s="1"/>
      <c r="AV308" s="1"/>
    </row>
    <row r="309" spans="19:48" s="21" customFormat="1" ht="22.5" customHeight="1" x14ac:dyDescent="0.25">
      <c r="S309" s="1"/>
      <c r="V309" s="141"/>
      <c r="W309" s="141"/>
      <c r="AF309" s="1"/>
      <c r="AN309" s="1"/>
      <c r="AV309" s="1"/>
    </row>
    <row r="310" spans="19:48" s="21" customFormat="1" ht="22.5" customHeight="1" x14ac:dyDescent="0.25">
      <c r="S310" s="1"/>
      <c r="V310" s="141"/>
      <c r="W310" s="141"/>
      <c r="AF310" s="1"/>
      <c r="AN310" s="1"/>
      <c r="AV310" s="1"/>
    </row>
    <row r="311" spans="19:48" s="21" customFormat="1" ht="22.5" customHeight="1" x14ac:dyDescent="0.25">
      <c r="S311" s="1"/>
      <c r="V311" s="141"/>
      <c r="W311" s="141"/>
      <c r="AF311" s="1"/>
      <c r="AN311" s="1"/>
      <c r="AV311" s="1"/>
    </row>
    <row r="312" spans="19:48" s="21" customFormat="1" ht="22.5" customHeight="1" x14ac:dyDescent="0.25">
      <c r="S312" s="1"/>
      <c r="V312" s="141"/>
      <c r="W312" s="141"/>
      <c r="AF312" s="1"/>
      <c r="AN312" s="1"/>
      <c r="AV312" s="1"/>
    </row>
    <row r="313" spans="19:48" s="21" customFormat="1" ht="22.5" customHeight="1" x14ac:dyDescent="0.25">
      <c r="S313" s="1"/>
      <c r="V313" s="141"/>
      <c r="W313" s="141"/>
      <c r="AF313" s="1"/>
      <c r="AN313" s="1"/>
      <c r="AV313" s="1"/>
    </row>
    <row r="314" spans="19:48" s="21" customFormat="1" ht="22.5" customHeight="1" x14ac:dyDescent="0.25">
      <c r="S314" s="1"/>
      <c r="V314" s="141"/>
      <c r="W314" s="141"/>
      <c r="AF314" s="1"/>
      <c r="AN314" s="1"/>
      <c r="AV314" s="1"/>
    </row>
    <row r="315" spans="19:48" s="21" customFormat="1" ht="22.5" customHeight="1" x14ac:dyDescent="0.25">
      <c r="S315" s="1"/>
      <c r="V315" s="141"/>
      <c r="W315" s="141"/>
      <c r="AF315" s="1"/>
      <c r="AN315" s="1"/>
      <c r="AV315" s="1"/>
    </row>
    <row r="316" spans="19:48" s="21" customFormat="1" ht="22.5" customHeight="1" x14ac:dyDescent="0.25">
      <c r="S316" s="1"/>
      <c r="V316" s="141"/>
      <c r="W316" s="141"/>
      <c r="AF316" s="1"/>
      <c r="AN316" s="1"/>
      <c r="AV316" s="1"/>
    </row>
    <row r="317" spans="19:48" s="21" customFormat="1" ht="22.5" customHeight="1" x14ac:dyDescent="0.25">
      <c r="S317" s="1"/>
      <c r="V317" s="141"/>
      <c r="W317" s="141"/>
      <c r="AF317" s="1"/>
      <c r="AN317" s="1"/>
      <c r="AV317" s="1"/>
    </row>
    <row r="318" spans="19:48" s="21" customFormat="1" ht="22.5" customHeight="1" x14ac:dyDescent="0.25">
      <c r="S318" s="1"/>
      <c r="V318" s="141"/>
      <c r="W318" s="141"/>
      <c r="AF318" s="1"/>
      <c r="AN318" s="1"/>
      <c r="AV318" s="1"/>
    </row>
    <row r="319" spans="19:48" s="21" customFormat="1" ht="22.5" customHeight="1" x14ac:dyDescent="0.25">
      <c r="S319" s="1"/>
      <c r="V319" s="141"/>
      <c r="W319" s="141"/>
      <c r="AF319" s="1"/>
      <c r="AN319" s="1"/>
      <c r="AV319" s="1"/>
    </row>
    <row r="320" spans="19:48" s="21" customFormat="1" ht="22.5" customHeight="1" x14ac:dyDescent="0.25">
      <c r="S320" s="1"/>
      <c r="V320" s="141"/>
      <c r="W320" s="141"/>
      <c r="AF320" s="1"/>
      <c r="AN320" s="1"/>
      <c r="AV320" s="1"/>
    </row>
    <row r="321" spans="19:48" s="21" customFormat="1" ht="22.5" customHeight="1" x14ac:dyDescent="0.25">
      <c r="S321" s="1"/>
      <c r="V321" s="141"/>
      <c r="W321" s="141"/>
      <c r="AF321" s="1"/>
      <c r="AN321" s="1"/>
      <c r="AV321" s="1"/>
    </row>
    <row r="322" spans="19:48" s="21" customFormat="1" ht="22.5" customHeight="1" x14ac:dyDescent="0.25">
      <c r="S322" s="1"/>
      <c r="V322" s="141"/>
      <c r="W322" s="141"/>
      <c r="AF322" s="1"/>
      <c r="AN322" s="1"/>
      <c r="AV322" s="1"/>
    </row>
    <row r="323" spans="19:48" s="21" customFormat="1" ht="22.5" customHeight="1" x14ac:dyDescent="0.25">
      <c r="S323" s="1"/>
      <c r="V323" s="141"/>
      <c r="W323" s="141"/>
      <c r="AF323" s="1"/>
      <c r="AN323" s="1"/>
      <c r="AV323" s="1"/>
    </row>
    <row r="324" spans="19:48" s="21" customFormat="1" ht="22.5" customHeight="1" x14ac:dyDescent="0.25">
      <c r="S324" s="1"/>
      <c r="V324" s="141"/>
      <c r="W324" s="141"/>
      <c r="AF324" s="1"/>
      <c r="AN324" s="1"/>
      <c r="AV324" s="1"/>
    </row>
    <row r="325" spans="19:48" s="21" customFormat="1" ht="22.5" customHeight="1" x14ac:dyDescent="0.25">
      <c r="S325" s="1"/>
      <c r="V325" s="141"/>
      <c r="W325" s="141"/>
      <c r="AF325" s="1"/>
      <c r="AN325" s="1"/>
      <c r="AV325" s="1"/>
    </row>
    <row r="326" spans="19:48" s="21" customFormat="1" ht="22.5" customHeight="1" x14ac:dyDescent="0.25">
      <c r="S326" s="1"/>
      <c r="V326" s="141"/>
      <c r="W326" s="141"/>
      <c r="AF326" s="1"/>
      <c r="AN326" s="1"/>
      <c r="AV326" s="1"/>
    </row>
    <row r="327" spans="19:48" s="21" customFormat="1" ht="22.5" customHeight="1" x14ac:dyDescent="0.25">
      <c r="S327" s="1"/>
      <c r="V327" s="141"/>
      <c r="W327" s="141"/>
      <c r="AF327" s="1"/>
      <c r="AN327" s="1"/>
      <c r="AV327" s="1"/>
    </row>
    <row r="328" spans="19:48" s="21" customFormat="1" ht="22.5" customHeight="1" x14ac:dyDescent="0.25">
      <c r="S328" s="1"/>
      <c r="V328" s="141"/>
      <c r="W328" s="141"/>
      <c r="AF328" s="1"/>
      <c r="AN328" s="1"/>
      <c r="AV328" s="1"/>
    </row>
    <row r="329" spans="19:48" s="21" customFormat="1" ht="22.5" customHeight="1" x14ac:dyDescent="0.25">
      <c r="S329" s="1"/>
      <c r="V329" s="141"/>
      <c r="W329" s="141"/>
      <c r="AF329" s="1"/>
      <c r="AN329" s="1"/>
      <c r="AV329" s="1"/>
    </row>
    <row r="330" spans="19:48" s="21" customFormat="1" ht="22.5" customHeight="1" x14ac:dyDescent="0.25">
      <c r="S330" s="1"/>
      <c r="V330" s="141"/>
      <c r="W330" s="141"/>
      <c r="AF330" s="1"/>
      <c r="AN330" s="1"/>
      <c r="AV330" s="1"/>
    </row>
    <row r="331" spans="19:48" s="21" customFormat="1" ht="22.5" customHeight="1" x14ac:dyDescent="0.25">
      <c r="S331" s="1"/>
      <c r="V331" s="141"/>
      <c r="W331" s="141"/>
      <c r="AF331" s="1"/>
      <c r="AN331" s="1"/>
      <c r="AV331" s="1"/>
    </row>
    <row r="332" spans="19:48" s="21" customFormat="1" ht="22.5" customHeight="1" x14ac:dyDescent="0.25">
      <c r="S332" s="1"/>
      <c r="V332" s="141"/>
      <c r="W332" s="141"/>
      <c r="AF332" s="1"/>
      <c r="AN332" s="1"/>
      <c r="AV332" s="1"/>
    </row>
    <row r="333" spans="19:48" s="21" customFormat="1" ht="22.5" customHeight="1" x14ac:dyDescent="0.25">
      <c r="S333" s="1"/>
      <c r="V333" s="141"/>
      <c r="W333" s="141"/>
      <c r="AF333" s="1"/>
      <c r="AN333" s="1"/>
      <c r="AV333" s="1"/>
    </row>
    <row r="334" spans="19:48" s="21" customFormat="1" ht="22.5" customHeight="1" x14ac:dyDescent="0.25">
      <c r="S334" s="1"/>
      <c r="V334" s="141"/>
      <c r="W334" s="141"/>
      <c r="AF334" s="1"/>
      <c r="AN334" s="1"/>
      <c r="AV334" s="1"/>
    </row>
    <row r="335" spans="19:48" s="21" customFormat="1" ht="22.5" customHeight="1" x14ac:dyDescent="0.25">
      <c r="S335" s="1"/>
      <c r="V335" s="141"/>
      <c r="W335" s="141"/>
      <c r="AF335" s="1"/>
      <c r="AN335" s="1"/>
      <c r="AV335" s="1"/>
    </row>
    <row r="336" spans="19:48" s="21" customFormat="1" ht="22.5" customHeight="1" x14ac:dyDescent="0.25">
      <c r="S336" s="1"/>
      <c r="V336" s="141"/>
      <c r="W336" s="141"/>
      <c r="AF336" s="1"/>
      <c r="AN336" s="1"/>
      <c r="AV336" s="1"/>
    </row>
    <row r="337" spans="19:48" s="21" customFormat="1" ht="22.5" customHeight="1" x14ac:dyDescent="0.25">
      <c r="S337" s="1"/>
      <c r="V337" s="141"/>
      <c r="W337" s="141"/>
      <c r="AF337" s="1"/>
      <c r="AN337" s="1"/>
      <c r="AV337" s="1"/>
    </row>
    <row r="338" spans="19:48" s="21" customFormat="1" ht="22.5" customHeight="1" x14ac:dyDescent="0.25">
      <c r="S338" s="1"/>
      <c r="V338" s="141"/>
      <c r="W338" s="141"/>
      <c r="AF338" s="1"/>
      <c r="AN338" s="1"/>
      <c r="AV338" s="1"/>
    </row>
    <row r="339" spans="19:48" s="21" customFormat="1" ht="22.5" customHeight="1" x14ac:dyDescent="0.25">
      <c r="S339" s="1"/>
      <c r="V339" s="141"/>
      <c r="W339" s="141"/>
      <c r="AF339" s="1"/>
      <c r="AN339" s="1"/>
      <c r="AV339" s="1"/>
    </row>
    <row r="340" spans="19:48" s="21" customFormat="1" ht="22.5" customHeight="1" x14ac:dyDescent="0.25">
      <c r="S340" s="1"/>
      <c r="V340" s="141"/>
      <c r="W340" s="141"/>
      <c r="AF340" s="1"/>
      <c r="AN340" s="1"/>
      <c r="AV340" s="1"/>
    </row>
    <row r="341" spans="19:48" s="21" customFormat="1" ht="22.5" customHeight="1" x14ac:dyDescent="0.25">
      <c r="S341" s="1"/>
      <c r="V341" s="141"/>
      <c r="W341" s="141"/>
      <c r="AF341" s="1"/>
      <c r="AN341" s="1"/>
      <c r="AV341" s="1"/>
    </row>
    <row r="342" spans="19:48" s="21" customFormat="1" ht="22.5" customHeight="1" x14ac:dyDescent="0.25">
      <c r="S342" s="1"/>
      <c r="V342" s="141"/>
      <c r="W342" s="141"/>
      <c r="AF342" s="1"/>
      <c r="AN342" s="1"/>
      <c r="AV342" s="1"/>
    </row>
    <row r="343" spans="19:48" s="21" customFormat="1" ht="22.5" customHeight="1" x14ac:dyDescent="0.25">
      <c r="S343" s="1"/>
      <c r="V343" s="141"/>
      <c r="W343" s="141"/>
      <c r="AF343" s="1"/>
      <c r="AN343" s="1"/>
      <c r="AV343" s="1"/>
    </row>
    <row r="344" spans="19:48" s="21" customFormat="1" ht="22.5" customHeight="1" x14ac:dyDescent="0.25">
      <c r="S344" s="1"/>
      <c r="V344" s="141"/>
      <c r="W344" s="141"/>
      <c r="AF344" s="1"/>
      <c r="AN344" s="1"/>
      <c r="AV344" s="1"/>
    </row>
    <row r="345" spans="19:48" s="21" customFormat="1" ht="22.5" customHeight="1" x14ac:dyDescent="0.25">
      <c r="S345" s="1"/>
      <c r="V345" s="141"/>
      <c r="W345" s="141"/>
      <c r="AF345" s="1"/>
      <c r="AN345" s="1"/>
      <c r="AV345" s="1"/>
    </row>
    <row r="346" spans="19:48" s="21" customFormat="1" ht="22.5" customHeight="1" x14ac:dyDescent="0.25">
      <c r="S346" s="1"/>
      <c r="V346" s="141"/>
      <c r="W346" s="141"/>
      <c r="AF346" s="1"/>
      <c r="AN346" s="1"/>
      <c r="AV346" s="1"/>
    </row>
    <row r="347" spans="19:48" s="21" customFormat="1" ht="22.5" customHeight="1" x14ac:dyDescent="0.25">
      <c r="S347" s="1"/>
      <c r="V347" s="141"/>
      <c r="W347" s="141"/>
      <c r="AF347" s="1"/>
      <c r="AN347" s="1"/>
      <c r="AV347" s="1"/>
    </row>
    <row r="348" spans="19:48" s="21" customFormat="1" ht="22.5" customHeight="1" x14ac:dyDescent="0.25">
      <c r="S348" s="1"/>
      <c r="V348" s="141"/>
      <c r="W348" s="141"/>
      <c r="AF348" s="1"/>
      <c r="AN348" s="1"/>
      <c r="AV348" s="1"/>
    </row>
    <row r="349" spans="19:48" s="21" customFormat="1" ht="22.5" customHeight="1" x14ac:dyDescent="0.25">
      <c r="S349" s="1"/>
      <c r="V349" s="141"/>
      <c r="W349" s="141"/>
      <c r="AF349" s="1"/>
      <c r="AN349" s="1"/>
      <c r="AV349" s="1"/>
    </row>
    <row r="350" spans="19:48" s="21" customFormat="1" ht="22.5" customHeight="1" x14ac:dyDescent="0.25">
      <c r="S350" s="1"/>
      <c r="V350" s="141"/>
      <c r="W350" s="141"/>
      <c r="AF350" s="1"/>
      <c r="AN350" s="1"/>
      <c r="AV350" s="1"/>
    </row>
    <row r="351" spans="19:48" s="21" customFormat="1" ht="22.5" customHeight="1" x14ac:dyDescent="0.25">
      <c r="S351" s="1"/>
      <c r="V351" s="141"/>
      <c r="W351" s="141"/>
      <c r="AF351" s="1"/>
      <c r="AN351" s="1"/>
      <c r="AV351" s="1"/>
    </row>
    <row r="352" spans="19:48" s="21" customFormat="1" ht="22.5" customHeight="1" x14ac:dyDescent="0.25">
      <c r="S352" s="1"/>
      <c r="V352" s="141"/>
      <c r="W352" s="141"/>
      <c r="AF352" s="1"/>
      <c r="AN352" s="1"/>
      <c r="AV352" s="1"/>
    </row>
    <row r="353" spans="19:48" s="21" customFormat="1" ht="22.5" customHeight="1" x14ac:dyDescent="0.25">
      <c r="S353" s="1"/>
      <c r="V353" s="141"/>
      <c r="W353" s="141"/>
      <c r="AF353" s="1"/>
      <c r="AN353" s="1"/>
      <c r="AV353" s="1"/>
    </row>
    <row r="354" spans="19:48" s="21" customFormat="1" ht="22.5" customHeight="1" x14ac:dyDescent="0.25">
      <c r="S354" s="1"/>
      <c r="V354" s="141"/>
      <c r="W354" s="141"/>
      <c r="AF354" s="1"/>
      <c r="AN354" s="1"/>
      <c r="AV354" s="1"/>
    </row>
    <row r="355" spans="19:48" s="21" customFormat="1" ht="22.5" customHeight="1" x14ac:dyDescent="0.25">
      <c r="S355" s="1"/>
      <c r="V355" s="141"/>
      <c r="W355" s="141"/>
      <c r="AF355" s="1"/>
      <c r="AN355" s="1"/>
      <c r="AV355" s="1"/>
    </row>
    <row r="356" spans="19:48" s="21" customFormat="1" ht="22.5" customHeight="1" x14ac:dyDescent="0.25">
      <c r="S356" s="1"/>
      <c r="V356" s="141"/>
      <c r="W356" s="141"/>
      <c r="AF356" s="1"/>
      <c r="AN356" s="1"/>
      <c r="AV356" s="1"/>
    </row>
    <row r="357" spans="19:48" s="21" customFormat="1" ht="22.5" customHeight="1" x14ac:dyDescent="0.25">
      <c r="S357" s="1"/>
      <c r="V357" s="141"/>
      <c r="W357" s="141"/>
      <c r="AF357" s="1"/>
      <c r="AN357" s="1"/>
      <c r="AV357" s="1"/>
    </row>
    <row r="358" spans="19:48" s="21" customFormat="1" ht="22.5" customHeight="1" x14ac:dyDescent="0.25">
      <c r="S358" s="1"/>
      <c r="V358" s="141"/>
      <c r="W358" s="141"/>
      <c r="AF358" s="1"/>
      <c r="AN358" s="1"/>
      <c r="AV358" s="1"/>
    </row>
    <row r="359" spans="19:48" s="21" customFormat="1" ht="22.5" customHeight="1" x14ac:dyDescent="0.25">
      <c r="S359" s="1"/>
      <c r="V359" s="141"/>
      <c r="W359" s="141"/>
      <c r="AF359" s="1"/>
      <c r="AN359" s="1"/>
      <c r="AV359" s="1"/>
    </row>
    <row r="360" spans="19:48" s="21" customFormat="1" ht="22.5" customHeight="1" x14ac:dyDescent="0.25">
      <c r="S360" s="1"/>
      <c r="V360" s="141"/>
      <c r="W360" s="141"/>
      <c r="AF360" s="1"/>
      <c r="AN360" s="1"/>
      <c r="AV360" s="1"/>
    </row>
    <row r="361" spans="19:48" s="21" customFormat="1" ht="22.5" customHeight="1" x14ac:dyDescent="0.25">
      <c r="S361" s="1"/>
      <c r="V361" s="141"/>
      <c r="W361" s="141"/>
      <c r="AF361" s="1"/>
      <c r="AN361" s="1"/>
      <c r="AV361" s="1"/>
    </row>
    <row r="362" spans="19:48" s="21" customFormat="1" ht="22.5" customHeight="1" x14ac:dyDescent="0.25">
      <c r="S362" s="1"/>
      <c r="V362" s="141"/>
      <c r="W362" s="141"/>
      <c r="AF362" s="1"/>
      <c r="AN362" s="1"/>
      <c r="AV362" s="1"/>
    </row>
    <row r="363" spans="19:48" s="21" customFormat="1" ht="22.5" customHeight="1" x14ac:dyDescent="0.25">
      <c r="S363" s="1"/>
      <c r="V363" s="141"/>
      <c r="W363" s="141"/>
      <c r="AF363" s="1"/>
      <c r="AN363" s="1"/>
      <c r="AV363" s="1"/>
    </row>
    <row r="364" spans="19:48" s="21" customFormat="1" ht="22.5" customHeight="1" x14ac:dyDescent="0.25">
      <c r="S364" s="1"/>
      <c r="V364" s="141"/>
      <c r="W364" s="141"/>
      <c r="AF364" s="1"/>
      <c r="AN364" s="1"/>
      <c r="AV364" s="1"/>
    </row>
    <row r="365" spans="19:48" s="21" customFormat="1" ht="22.5" customHeight="1" x14ac:dyDescent="0.25">
      <c r="S365" s="1"/>
      <c r="V365" s="141"/>
      <c r="W365" s="141"/>
      <c r="AF365" s="1"/>
      <c r="AN365" s="1"/>
      <c r="AV365" s="1"/>
    </row>
    <row r="366" spans="19:48" s="21" customFormat="1" ht="22.5" customHeight="1" x14ac:dyDescent="0.25">
      <c r="S366" s="1"/>
      <c r="V366" s="141"/>
      <c r="W366" s="141"/>
      <c r="AF366" s="1"/>
      <c r="AN366" s="1"/>
      <c r="AV366" s="1"/>
    </row>
    <row r="367" spans="19:48" s="21" customFormat="1" ht="22.5" customHeight="1" x14ac:dyDescent="0.25">
      <c r="S367" s="1"/>
      <c r="V367" s="141"/>
      <c r="W367" s="141"/>
      <c r="AF367" s="1"/>
      <c r="AN367" s="1"/>
      <c r="AV367" s="1"/>
    </row>
    <row r="368" spans="19:48" s="21" customFormat="1" ht="22.5" customHeight="1" x14ac:dyDescent="0.25">
      <c r="S368" s="1"/>
      <c r="V368" s="141"/>
      <c r="W368" s="141"/>
      <c r="AF368" s="1"/>
      <c r="AN368" s="1"/>
      <c r="AV368" s="1"/>
    </row>
    <row r="369" spans="19:48" s="21" customFormat="1" ht="22.5" customHeight="1" x14ac:dyDescent="0.25">
      <c r="S369" s="1"/>
      <c r="V369" s="141"/>
      <c r="W369" s="141"/>
      <c r="AF369" s="1"/>
      <c r="AN369" s="1"/>
      <c r="AV369" s="1"/>
    </row>
    <row r="370" spans="19:48" s="21" customFormat="1" ht="22.5" customHeight="1" x14ac:dyDescent="0.25">
      <c r="S370" s="1"/>
      <c r="V370" s="141"/>
      <c r="W370" s="141"/>
      <c r="AF370" s="1"/>
      <c r="AN370" s="1"/>
      <c r="AV370" s="1"/>
    </row>
    <row r="371" spans="19:48" s="21" customFormat="1" ht="22.5" customHeight="1" x14ac:dyDescent="0.25">
      <c r="S371" s="1"/>
      <c r="V371" s="141"/>
      <c r="W371" s="141"/>
      <c r="AF371" s="1"/>
      <c r="AN371" s="1"/>
      <c r="AV371" s="1"/>
    </row>
    <row r="372" spans="19:48" s="21" customFormat="1" ht="22.5" customHeight="1" x14ac:dyDescent="0.25">
      <c r="S372" s="1"/>
      <c r="V372" s="141"/>
      <c r="W372" s="141"/>
      <c r="AF372" s="1"/>
      <c r="AN372" s="1"/>
      <c r="AV372" s="1"/>
    </row>
    <row r="373" spans="19:48" s="21" customFormat="1" ht="22.5" customHeight="1" x14ac:dyDescent="0.25">
      <c r="S373" s="1"/>
      <c r="V373" s="141"/>
      <c r="W373" s="141"/>
      <c r="AF373" s="1"/>
      <c r="AN373" s="1"/>
      <c r="AV373" s="1"/>
    </row>
    <row r="374" spans="19:48" s="21" customFormat="1" ht="22.5" customHeight="1" x14ac:dyDescent="0.25">
      <c r="S374" s="1"/>
      <c r="V374" s="141"/>
      <c r="W374" s="141"/>
      <c r="AF374" s="1"/>
      <c r="AN374" s="1"/>
      <c r="AV374" s="1"/>
    </row>
    <row r="375" spans="19:48" s="21" customFormat="1" ht="22.5" customHeight="1" x14ac:dyDescent="0.25">
      <c r="S375" s="1"/>
      <c r="V375" s="141"/>
      <c r="W375" s="141"/>
      <c r="AF375" s="1"/>
      <c r="AN375" s="1"/>
      <c r="AV375" s="1"/>
    </row>
    <row r="376" spans="19:48" s="21" customFormat="1" ht="22.5" customHeight="1" x14ac:dyDescent="0.25">
      <c r="S376" s="1"/>
      <c r="V376" s="141"/>
      <c r="W376" s="141"/>
      <c r="AF376" s="1"/>
      <c r="AN376" s="1"/>
      <c r="AV376" s="1"/>
    </row>
    <row r="377" spans="19:48" s="21" customFormat="1" ht="22.5" customHeight="1" x14ac:dyDescent="0.25">
      <c r="S377" s="1"/>
      <c r="V377" s="141"/>
      <c r="W377" s="141"/>
      <c r="AF377" s="1"/>
      <c r="AN377" s="1"/>
      <c r="AV377" s="1"/>
    </row>
    <row r="378" spans="19:48" s="21" customFormat="1" ht="22.5" customHeight="1" x14ac:dyDescent="0.25">
      <c r="S378" s="1"/>
      <c r="V378" s="141"/>
      <c r="W378" s="141"/>
      <c r="AF378" s="1"/>
      <c r="AN378" s="1"/>
      <c r="AV378" s="1"/>
    </row>
    <row r="379" spans="19:48" s="21" customFormat="1" ht="22.5" customHeight="1" x14ac:dyDescent="0.25">
      <c r="S379" s="1"/>
      <c r="V379" s="141"/>
      <c r="W379" s="141"/>
      <c r="AF379" s="1"/>
      <c r="AN379" s="1"/>
      <c r="AV379" s="1"/>
    </row>
    <row r="380" spans="19:48" s="21" customFormat="1" ht="22.5" customHeight="1" x14ac:dyDescent="0.25">
      <c r="S380" s="1"/>
      <c r="V380" s="141"/>
      <c r="W380" s="141"/>
      <c r="AF380" s="1"/>
      <c r="AN380" s="1"/>
      <c r="AV380" s="1"/>
    </row>
    <row r="381" spans="19:48" s="21" customFormat="1" ht="22.5" customHeight="1" x14ac:dyDescent="0.25">
      <c r="S381" s="1"/>
      <c r="V381" s="141"/>
      <c r="W381" s="141"/>
      <c r="AF381" s="1"/>
      <c r="AN381" s="1"/>
      <c r="AV381" s="1"/>
    </row>
    <row r="382" spans="19:48" s="21" customFormat="1" ht="22.5" customHeight="1" x14ac:dyDescent="0.25">
      <c r="S382" s="1"/>
      <c r="V382" s="141"/>
      <c r="W382" s="141"/>
      <c r="AF382" s="1"/>
      <c r="AN382" s="1"/>
      <c r="AV382" s="1"/>
    </row>
    <row r="383" spans="19:48" s="21" customFormat="1" ht="22.5" customHeight="1" x14ac:dyDescent="0.25">
      <c r="S383" s="1"/>
      <c r="V383" s="141"/>
      <c r="W383" s="141"/>
      <c r="AF383" s="1"/>
      <c r="AN383" s="1"/>
      <c r="AV383" s="1"/>
    </row>
    <row r="384" spans="19:48" s="21" customFormat="1" ht="22.5" customHeight="1" x14ac:dyDescent="0.25">
      <c r="S384" s="1"/>
      <c r="V384" s="141"/>
      <c r="W384" s="141"/>
      <c r="AF384" s="1"/>
      <c r="AN384" s="1"/>
      <c r="AV384" s="1"/>
    </row>
    <row r="385" spans="19:48" s="21" customFormat="1" ht="22.5" customHeight="1" x14ac:dyDescent="0.25">
      <c r="S385" s="1"/>
      <c r="V385" s="141"/>
      <c r="W385" s="141"/>
      <c r="AF385" s="1"/>
      <c r="AN385" s="1"/>
      <c r="AV385" s="1"/>
    </row>
    <row r="386" spans="19:48" s="21" customFormat="1" ht="22.5" customHeight="1" x14ac:dyDescent="0.25">
      <c r="S386" s="1"/>
      <c r="V386" s="141"/>
      <c r="W386" s="141"/>
      <c r="AF386" s="1"/>
      <c r="AN386" s="1"/>
      <c r="AV386" s="1"/>
    </row>
    <row r="387" spans="19:48" s="21" customFormat="1" ht="22.5" customHeight="1" x14ac:dyDescent="0.25">
      <c r="S387" s="1"/>
      <c r="V387" s="141"/>
      <c r="W387" s="141"/>
      <c r="AF387" s="1"/>
      <c r="AN387" s="1"/>
      <c r="AV387" s="1"/>
    </row>
    <row r="388" spans="19:48" s="21" customFormat="1" ht="22.5" customHeight="1" x14ac:dyDescent="0.25">
      <c r="S388" s="1"/>
      <c r="V388" s="141"/>
      <c r="W388" s="141"/>
      <c r="AF388" s="1"/>
      <c r="AN388" s="1"/>
      <c r="AV388" s="1"/>
    </row>
    <row r="389" spans="19:48" s="21" customFormat="1" ht="22.5" customHeight="1" x14ac:dyDescent="0.25">
      <c r="S389" s="1"/>
      <c r="V389" s="141"/>
      <c r="W389" s="141"/>
      <c r="AF389" s="1"/>
      <c r="AN389" s="1"/>
      <c r="AV389" s="1"/>
    </row>
    <row r="390" spans="19:48" s="21" customFormat="1" ht="22.5" customHeight="1" x14ac:dyDescent="0.25">
      <c r="S390" s="1"/>
      <c r="V390" s="141"/>
      <c r="W390" s="141"/>
      <c r="AF390" s="1"/>
      <c r="AN390" s="1"/>
      <c r="AV390" s="1"/>
    </row>
    <row r="391" spans="19:48" s="21" customFormat="1" ht="22.5" customHeight="1" x14ac:dyDescent="0.25">
      <c r="S391" s="1"/>
      <c r="V391" s="141"/>
      <c r="W391" s="141"/>
      <c r="AF391" s="1"/>
      <c r="AN391" s="1"/>
      <c r="AV391" s="1"/>
    </row>
    <row r="392" spans="19:48" s="21" customFormat="1" ht="22.5" customHeight="1" x14ac:dyDescent="0.25">
      <c r="S392" s="1"/>
      <c r="V392" s="141"/>
      <c r="W392" s="141"/>
      <c r="AF392" s="1"/>
      <c r="AN392" s="1"/>
      <c r="AV392" s="1"/>
    </row>
    <row r="393" spans="19:48" s="21" customFormat="1" ht="22.5" customHeight="1" x14ac:dyDescent="0.25">
      <c r="S393" s="1"/>
      <c r="V393" s="141"/>
      <c r="W393" s="141"/>
      <c r="AF393" s="1"/>
      <c r="AN393" s="1"/>
      <c r="AV393" s="1"/>
    </row>
    <row r="394" spans="19:48" s="21" customFormat="1" ht="22.5" customHeight="1" x14ac:dyDescent="0.25">
      <c r="S394" s="1"/>
      <c r="V394" s="141"/>
      <c r="W394" s="141"/>
      <c r="AF394" s="1"/>
      <c r="AN394" s="1"/>
      <c r="AV394" s="1"/>
    </row>
    <row r="395" spans="19:48" s="21" customFormat="1" ht="22.5" customHeight="1" x14ac:dyDescent="0.25">
      <c r="S395" s="1"/>
      <c r="V395" s="141"/>
      <c r="W395" s="141"/>
      <c r="AF395" s="1"/>
      <c r="AN395" s="1"/>
      <c r="AV395" s="1"/>
    </row>
    <row r="396" spans="19:48" s="21" customFormat="1" ht="22.5" customHeight="1" x14ac:dyDescent="0.25">
      <c r="S396" s="1"/>
      <c r="V396" s="141"/>
      <c r="W396" s="141"/>
      <c r="AF396" s="1"/>
      <c r="AN396" s="1"/>
      <c r="AV396" s="1"/>
    </row>
    <row r="397" spans="19:48" s="21" customFormat="1" ht="22.5" customHeight="1" x14ac:dyDescent="0.25">
      <c r="S397" s="1"/>
      <c r="V397" s="141"/>
      <c r="W397" s="141"/>
      <c r="AF397" s="1"/>
      <c r="AN397" s="1"/>
      <c r="AV397" s="1"/>
    </row>
    <row r="398" spans="19:48" s="21" customFormat="1" ht="22.5" customHeight="1" x14ac:dyDescent="0.25">
      <c r="S398" s="1"/>
      <c r="V398" s="141"/>
      <c r="W398" s="141"/>
      <c r="AF398" s="1"/>
      <c r="AN398" s="1"/>
      <c r="AV398" s="1"/>
    </row>
    <row r="399" spans="19:48" s="21" customFormat="1" ht="22.5" customHeight="1" x14ac:dyDescent="0.25">
      <c r="S399" s="1"/>
      <c r="V399" s="141"/>
      <c r="W399" s="141"/>
      <c r="AF399" s="1"/>
      <c r="AN399" s="1"/>
      <c r="AV399" s="1"/>
    </row>
    <row r="400" spans="19:48" s="21" customFormat="1" ht="22.5" customHeight="1" x14ac:dyDescent="0.25">
      <c r="S400" s="1"/>
      <c r="V400" s="141"/>
      <c r="W400" s="141"/>
      <c r="AF400" s="1"/>
      <c r="AN400" s="1"/>
      <c r="AV400" s="1"/>
    </row>
    <row r="401" spans="19:48" s="21" customFormat="1" ht="22.5" customHeight="1" x14ac:dyDescent="0.25">
      <c r="S401" s="1"/>
      <c r="V401" s="141"/>
      <c r="W401" s="141"/>
      <c r="AF401" s="1"/>
      <c r="AN401" s="1"/>
      <c r="AV401" s="1"/>
    </row>
    <row r="402" spans="19:48" s="21" customFormat="1" ht="22.5" customHeight="1" x14ac:dyDescent="0.25">
      <c r="S402" s="1"/>
      <c r="V402" s="141"/>
      <c r="W402" s="141"/>
      <c r="AF402" s="1"/>
      <c r="AN402" s="1"/>
      <c r="AV402" s="1"/>
    </row>
    <row r="403" spans="19:48" s="21" customFormat="1" ht="22.5" customHeight="1" x14ac:dyDescent="0.25">
      <c r="S403" s="1"/>
      <c r="V403" s="141"/>
      <c r="W403" s="141"/>
      <c r="AF403" s="1"/>
      <c r="AN403" s="1"/>
      <c r="AV403" s="1"/>
    </row>
    <row r="404" spans="19:48" s="21" customFormat="1" ht="22.5" customHeight="1" x14ac:dyDescent="0.25">
      <c r="S404" s="1"/>
      <c r="V404" s="141"/>
      <c r="W404" s="141"/>
      <c r="AF404" s="1"/>
      <c r="AN404" s="1"/>
      <c r="AV404" s="1"/>
    </row>
    <row r="405" spans="19:48" s="21" customFormat="1" ht="22.5" customHeight="1" x14ac:dyDescent="0.25">
      <c r="S405" s="1"/>
      <c r="V405" s="141"/>
      <c r="W405" s="141"/>
      <c r="AF405" s="1"/>
      <c r="AN405" s="1"/>
      <c r="AV405" s="1"/>
    </row>
    <row r="406" spans="19:48" s="21" customFormat="1" ht="22.5" customHeight="1" x14ac:dyDescent="0.25">
      <c r="S406" s="1"/>
      <c r="V406" s="141"/>
      <c r="W406" s="141"/>
      <c r="AF406" s="1"/>
      <c r="AN406" s="1"/>
      <c r="AV406" s="1"/>
    </row>
    <row r="407" spans="19:48" s="21" customFormat="1" ht="22.5" customHeight="1" x14ac:dyDescent="0.25">
      <c r="S407" s="1"/>
      <c r="V407" s="141"/>
      <c r="W407" s="141"/>
      <c r="AF407" s="1"/>
      <c r="AN407" s="1"/>
      <c r="AV407" s="1"/>
    </row>
    <row r="408" spans="19:48" s="21" customFormat="1" ht="22.5" customHeight="1" x14ac:dyDescent="0.25">
      <c r="S408" s="1"/>
      <c r="V408" s="141"/>
      <c r="W408" s="141"/>
      <c r="AF408" s="1"/>
      <c r="AN408" s="1"/>
      <c r="AV408" s="1"/>
    </row>
    <row r="409" spans="19:48" s="21" customFormat="1" ht="22.5" customHeight="1" x14ac:dyDescent="0.25">
      <c r="S409" s="1"/>
      <c r="V409" s="141"/>
      <c r="W409" s="141"/>
      <c r="AF409" s="1"/>
      <c r="AN409" s="1"/>
      <c r="AV409" s="1"/>
    </row>
    <row r="410" spans="19:48" s="21" customFormat="1" ht="22.5" customHeight="1" x14ac:dyDescent="0.25">
      <c r="S410" s="1"/>
      <c r="V410" s="141"/>
      <c r="W410" s="141"/>
      <c r="AF410" s="1"/>
      <c r="AN410" s="1"/>
      <c r="AV410" s="1"/>
    </row>
    <row r="411" spans="19:48" s="21" customFormat="1" ht="22.5" customHeight="1" x14ac:dyDescent="0.25">
      <c r="S411" s="1"/>
      <c r="V411" s="141"/>
      <c r="W411" s="141"/>
      <c r="AF411" s="1"/>
      <c r="AN411" s="1"/>
      <c r="AV411" s="1"/>
    </row>
    <row r="412" spans="19:48" s="21" customFormat="1" ht="22.5" customHeight="1" x14ac:dyDescent="0.25">
      <c r="S412" s="1"/>
      <c r="V412" s="141"/>
      <c r="W412" s="141"/>
      <c r="AF412" s="1"/>
      <c r="AN412" s="1"/>
      <c r="AV412" s="1"/>
    </row>
    <row r="413" spans="19:48" s="21" customFormat="1" ht="22.5" customHeight="1" x14ac:dyDescent="0.25">
      <c r="S413" s="1"/>
      <c r="V413" s="141"/>
      <c r="W413" s="141"/>
      <c r="AF413" s="1"/>
      <c r="AN413" s="1"/>
      <c r="AV413" s="1"/>
    </row>
    <row r="414" spans="19:48" s="21" customFormat="1" ht="22.5" customHeight="1" x14ac:dyDescent="0.25">
      <c r="S414" s="1"/>
      <c r="V414" s="141"/>
      <c r="W414" s="141"/>
      <c r="AF414" s="1"/>
      <c r="AN414" s="1"/>
      <c r="AV414" s="1"/>
    </row>
    <row r="415" spans="19:48" s="21" customFormat="1" ht="22.5" customHeight="1" x14ac:dyDescent="0.25">
      <c r="S415" s="1"/>
      <c r="V415" s="141"/>
      <c r="W415" s="141"/>
      <c r="AF415" s="1"/>
      <c r="AN415" s="1"/>
      <c r="AV415" s="1"/>
    </row>
    <row r="416" spans="19:48" s="21" customFormat="1" ht="22.5" customHeight="1" x14ac:dyDescent="0.25">
      <c r="S416" s="1"/>
      <c r="V416" s="141"/>
      <c r="W416" s="141"/>
      <c r="AF416" s="1"/>
      <c r="AN416" s="1"/>
      <c r="AV416" s="1"/>
    </row>
    <row r="417" spans="19:48" s="21" customFormat="1" ht="22.5" customHeight="1" x14ac:dyDescent="0.25">
      <c r="S417" s="1"/>
      <c r="V417" s="141"/>
      <c r="W417" s="141"/>
      <c r="AF417" s="1"/>
      <c r="AN417" s="1"/>
      <c r="AV417" s="1"/>
    </row>
    <row r="418" spans="19:48" s="21" customFormat="1" ht="22.5" customHeight="1" x14ac:dyDescent="0.25">
      <c r="S418" s="1"/>
      <c r="V418" s="141"/>
      <c r="W418" s="141"/>
      <c r="AF418" s="1"/>
      <c r="AN418" s="1"/>
      <c r="AV418" s="1"/>
    </row>
    <row r="419" spans="19:48" s="21" customFormat="1" ht="22.5" customHeight="1" x14ac:dyDescent="0.25">
      <c r="S419" s="1"/>
      <c r="V419" s="141"/>
      <c r="W419" s="141"/>
      <c r="AF419" s="1"/>
      <c r="AN419" s="1"/>
      <c r="AV419" s="1"/>
    </row>
    <row r="420" spans="19:48" s="21" customFormat="1" ht="22.5" customHeight="1" x14ac:dyDescent="0.25">
      <c r="S420" s="1"/>
      <c r="V420" s="141"/>
      <c r="W420" s="141"/>
      <c r="AF420" s="1"/>
      <c r="AN420" s="1"/>
      <c r="AV420" s="1"/>
    </row>
    <row r="421" spans="19:48" s="21" customFormat="1" ht="22.5" customHeight="1" x14ac:dyDescent="0.25">
      <c r="S421" s="1"/>
      <c r="V421" s="141"/>
      <c r="W421" s="141"/>
      <c r="AF421" s="1"/>
      <c r="AN421" s="1"/>
      <c r="AV421" s="1"/>
    </row>
    <row r="422" spans="19:48" s="21" customFormat="1" ht="22.5" customHeight="1" x14ac:dyDescent="0.25">
      <c r="S422" s="1"/>
      <c r="V422" s="141"/>
      <c r="W422" s="141"/>
      <c r="AF422" s="1"/>
      <c r="AN422" s="1"/>
      <c r="AV422" s="1"/>
    </row>
    <row r="423" spans="19:48" s="21" customFormat="1" ht="22.5" customHeight="1" x14ac:dyDescent="0.25">
      <c r="S423" s="1"/>
      <c r="V423" s="141"/>
      <c r="W423" s="141"/>
      <c r="AF423" s="1"/>
      <c r="AN423" s="1"/>
      <c r="AV423" s="1"/>
    </row>
    <row r="424" spans="19:48" s="21" customFormat="1" ht="22.5" customHeight="1" x14ac:dyDescent="0.25">
      <c r="S424" s="1"/>
      <c r="V424" s="141"/>
      <c r="W424" s="141"/>
      <c r="AF424" s="1"/>
      <c r="AN424" s="1"/>
      <c r="AV424" s="1"/>
    </row>
    <row r="425" spans="19:48" s="21" customFormat="1" ht="22.5" customHeight="1" x14ac:dyDescent="0.25">
      <c r="S425" s="1"/>
      <c r="V425" s="141"/>
      <c r="W425" s="141"/>
      <c r="AF425" s="1"/>
      <c r="AN425" s="1"/>
      <c r="AV425" s="1"/>
    </row>
    <row r="426" spans="19:48" s="21" customFormat="1" ht="22.5" customHeight="1" x14ac:dyDescent="0.25">
      <c r="S426" s="1"/>
      <c r="V426" s="141"/>
      <c r="W426" s="141"/>
      <c r="AF426" s="1"/>
      <c r="AN426" s="1"/>
      <c r="AV426" s="1"/>
    </row>
    <row r="427" spans="19:48" s="21" customFormat="1" ht="22.5" customHeight="1" x14ac:dyDescent="0.25">
      <c r="S427" s="1"/>
      <c r="V427" s="141"/>
      <c r="W427" s="141"/>
      <c r="AF427" s="1"/>
      <c r="AN427" s="1"/>
      <c r="AV427" s="1"/>
    </row>
    <row r="428" spans="19:48" s="21" customFormat="1" ht="22.5" customHeight="1" x14ac:dyDescent="0.25">
      <c r="S428" s="1"/>
      <c r="V428" s="141"/>
      <c r="W428" s="141"/>
      <c r="AF428" s="1"/>
      <c r="AN428" s="1"/>
      <c r="AV428" s="1"/>
    </row>
    <row r="429" spans="19:48" s="21" customFormat="1" ht="22.5" customHeight="1" x14ac:dyDescent="0.25">
      <c r="S429" s="1"/>
      <c r="V429" s="141"/>
      <c r="W429" s="141"/>
      <c r="AF429" s="1"/>
      <c r="AN429" s="1"/>
      <c r="AV429" s="1"/>
    </row>
    <row r="430" spans="19:48" s="21" customFormat="1" ht="22.5" customHeight="1" x14ac:dyDescent="0.25">
      <c r="S430" s="1"/>
      <c r="V430" s="141"/>
      <c r="W430" s="141"/>
      <c r="AF430" s="1"/>
      <c r="AN430" s="1"/>
      <c r="AV430" s="1"/>
    </row>
    <row r="431" spans="19:48" s="21" customFormat="1" ht="22.5" customHeight="1" x14ac:dyDescent="0.25">
      <c r="S431" s="1"/>
      <c r="V431" s="141"/>
      <c r="W431" s="141"/>
      <c r="AF431" s="1"/>
      <c r="AN431" s="1"/>
      <c r="AV431" s="1"/>
    </row>
    <row r="432" spans="19:48" s="21" customFormat="1" ht="22.5" customHeight="1" x14ac:dyDescent="0.25">
      <c r="S432" s="1"/>
      <c r="V432" s="141"/>
      <c r="W432" s="141"/>
      <c r="AF432" s="1"/>
      <c r="AN432" s="1"/>
      <c r="AV432" s="1"/>
    </row>
    <row r="433" spans="19:48" s="21" customFormat="1" ht="22.5" customHeight="1" x14ac:dyDescent="0.25">
      <c r="S433" s="1"/>
      <c r="V433" s="141"/>
      <c r="W433" s="141"/>
      <c r="AF433" s="1"/>
      <c r="AN433" s="1"/>
      <c r="AV433" s="1"/>
    </row>
    <row r="434" spans="19:48" s="21" customFormat="1" ht="22.5" customHeight="1" x14ac:dyDescent="0.25">
      <c r="S434" s="1"/>
      <c r="V434" s="141"/>
      <c r="W434" s="141"/>
      <c r="AF434" s="1"/>
      <c r="AN434" s="1"/>
      <c r="AV434" s="1"/>
    </row>
    <row r="435" spans="19:48" s="21" customFormat="1" ht="22.5" customHeight="1" x14ac:dyDescent="0.25">
      <c r="S435" s="1"/>
      <c r="V435" s="141"/>
      <c r="W435" s="141"/>
      <c r="AF435" s="1"/>
      <c r="AN435" s="1"/>
      <c r="AV435" s="1"/>
    </row>
    <row r="436" spans="19:48" s="21" customFormat="1" ht="22.5" customHeight="1" x14ac:dyDescent="0.25">
      <c r="S436" s="1"/>
      <c r="V436" s="141"/>
      <c r="W436" s="141"/>
      <c r="AF436" s="1"/>
      <c r="AN436" s="1"/>
      <c r="AV436" s="1"/>
    </row>
    <row r="437" spans="19:48" s="21" customFormat="1" ht="22.5" customHeight="1" x14ac:dyDescent="0.25">
      <c r="S437" s="1"/>
      <c r="V437" s="141"/>
      <c r="W437" s="141"/>
      <c r="AF437" s="1"/>
      <c r="AN437" s="1"/>
      <c r="AV437" s="1"/>
    </row>
    <row r="438" spans="19:48" s="21" customFormat="1" ht="22.5" customHeight="1" x14ac:dyDescent="0.25">
      <c r="S438" s="1"/>
      <c r="V438" s="141"/>
      <c r="W438" s="141"/>
      <c r="AF438" s="1"/>
      <c r="AN438" s="1"/>
      <c r="AV438" s="1"/>
    </row>
    <row r="439" spans="19:48" s="21" customFormat="1" ht="22.5" customHeight="1" x14ac:dyDescent="0.25">
      <c r="S439" s="1"/>
      <c r="V439" s="141"/>
      <c r="W439" s="141"/>
      <c r="AF439" s="1"/>
      <c r="AN439" s="1"/>
      <c r="AV439" s="1"/>
    </row>
    <row r="440" spans="19:48" s="21" customFormat="1" ht="22.5" customHeight="1" x14ac:dyDescent="0.25">
      <c r="S440" s="1"/>
      <c r="V440" s="141"/>
      <c r="W440" s="141"/>
      <c r="AF440" s="1"/>
      <c r="AN440" s="1"/>
      <c r="AV440" s="1"/>
    </row>
    <row r="441" spans="19:48" s="21" customFormat="1" ht="22.5" customHeight="1" x14ac:dyDescent="0.25">
      <c r="S441" s="1"/>
      <c r="V441" s="141"/>
      <c r="W441" s="141"/>
      <c r="AF441" s="1"/>
      <c r="AN441" s="1"/>
      <c r="AV441" s="1"/>
    </row>
    <row r="442" spans="19:48" s="21" customFormat="1" ht="22.5" customHeight="1" x14ac:dyDescent="0.25">
      <c r="S442" s="1"/>
      <c r="V442" s="141"/>
      <c r="W442" s="141"/>
      <c r="AF442" s="1"/>
      <c r="AN442" s="1"/>
      <c r="AV442" s="1"/>
    </row>
    <row r="443" spans="19:48" s="21" customFormat="1" ht="22.5" customHeight="1" x14ac:dyDescent="0.25">
      <c r="S443" s="1"/>
      <c r="V443" s="141"/>
      <c r="W443" s="141"/>
      <c r="AF443" s="1"/>
      <c r="AN443" s="1"/>
      <c r="AV443" s="1"/>
    </row>
    <row r="444" spans="19:48" s="21" customFormat="1" ht="22.5" customHeight="1" x14ac:dyDescent="0.25">
      <c r="S444" s="1"/>
      <c r="V444" s="141"/>
      <c r="W444" s="141"/>
      <c r="AF444" s="1"/>
      <c r="AN444" s="1"/>
      <c r="AV444" s="1"/>
    </row>
    <row r="445" spans="19:48" s="21" customFormat="1" ht="22.5" customHeight="1" x14ac:dyDescent="0.25">
      <c r="S445" s="1"/>
      <c r="V445" s="141"/>
      <c r="W445" s="141"/>
      <c r="AF445" s="1"/>
      <c r="AN445" s="1"/>
      <c r="AV445" s="1"/>
    </row>
    <row r="446" spans="19:48" s="21" customFormat="1" ht="22.5" customHeight="1" x14ac:dyDescent="0.25">
      <c r="S446" s="1"/>
      <c r="V446" s="141"/>
      <c r="W446" s="141"/>
      <c r="AF446" s="1"/>
      <c r="AN446" s="1"/>
      <c r="AV446" s="1"/>
    </row>
    <row r="447" spans="19:48" s="21" customFormat="1" ht="22.5" customHeight="1" x14ac:dyDescent="0.25">
      <c r="S447" s="1"/>
      <c r="V447" s="141"/>
      <c r="W447" s="141"/>
      <c r="AF447" s="1"/>
      <c r="AN447" s="1"/>
      <c r="AV447" s="1"/>
    </row>
    <row r="448" spans="19:48" s="21" customFormat="1" ht="22.5" customHeight="1" x14ac:dyDescent="0.25">
      <c r="S448" s="1"/>
      <c r="V448" s="141"/>
      <c r="W448" s="141"/>
      <c r="AF448" s="1"/>
      <c r="AN448" s="1"/>
      <c r="AV448" s="1"/>
    </row>
    <row r="449" spans="19:48" s="21" customFormat="1" ht="22.5" customHeight="1" x14ac:dyDescent="0.25">
      <c r="S449" s="1"/>
      <c r="V449" s="141"/>
      <c r="W449" s="141"/>
      <c r="AF449" s="1"/>
      <c r="AN449" s="1"/>
      <c r="AV449" s="1"/>
    </row>
    <row r="450" spans="19:48" s="21" customFormat="1" ht="22.5" customHeight="1" x14ac:dyDescent="0.25">
      <c r="S450" s="1"/>
      <c r="V450" s="141"/>
      <c r="W450" s="141"/>
      <c r="AF450" s="1"/>
      <c r="AN450" s="1"/>
      <c r="AV450" s="1"/>
    </row>
    <row r="451" spans="19:48" s="21" customFormat="1" ht="22.5" customHeight="1" x14ac:dyDescent="0.25">
      <c r="S451" s="1"/>
      <c r="V451" s="141"/>
      <c r="W451" s="141"/>
      <c r="AF451" s="1"/>
      <c r="AN451" s="1"/>
      <c r="AV451" s="1"/>
    </row>
    <row r="452" spans="19:48" s="21" customFormat="1" ht="22.5" customHeight="1" x14ac:dyDescent="0.25">
      <c r="S452" s="1"/>
      <c r="V452" s="141"/>
      <c r="W452" s="141"/>
      <c r="AF452" s="1"/>
      <c r="AN452" s="1"/>
      <c r="AV452" s="1"/>
    </row>
    <row r="453" spans="19:48" s="21" customFormat="1" ht="22.5" customHeight="1" x14ac:dyDescent="0.25">
      <c r="S453" s="1"/>
      <c r="V453" s="141"/>
      <c r="W453" s="141"/>
      <c r="AF453" s="1"/>
      <c r="AN453" s="1"/>
      <c r="AV453" s="1"/>
    </row>
    <row r="454" spans="19:48" s="21" customFormat="1" ht="22.5" customHeight="1" x14ac:dyDescent="0.25">
      <c r="S454" s="1"/>
      <c r="V454" s="141"/>
      <c r="W454" s="141"/>
      <c r="AF454" s="1"/>
      <c r="AN454" s="1"/>
      <c r="AV454" s="1"/>
    </row>
    <row r="455" spans="19:48" s="21" customFormat="1" ht="22.5" customHeight="1" x14ac:dyDescent="0.25">
      <c r="S455" s="1"/>
      <c r="V455" s="141"/>
      <c r="W455" s="141"/>
      <c r="AF455" s="1"/>
      <c r="AN455" s="1"/>
      <c r="AV455" s="1"/>
    </row>
    <row r="456" spans="19:48" s="21" customFormat="1" ht="22.5" customHeight="1" x14ac:dyDescent="0.25">
      <c r="S456" s="1"/>
      <c r="V456" s="141"/>
      <c r="W456" s="141"/>
      <c r="AF456" s="1"/>
      <c r="AN456" s="1"/>
      <c r="AV456" s="1"/>
    </row>
    <row r="457" spans="19:48" s="21" customFormat="1" ht="22.5" customHeight="1" x14ac:dyDescent="0.25">
      <c r="S457" s="1"/>
      <c r="V457" s="141"/>
      <c r="W457" s="141"/>
      <c r="AF457" s="1"/>
      <c r="AN457" s="1"/>
      <c r="AV457" s="1"/>
    </row>
    <row r="458" spans="19:48" s="21" customFormat="1" ht="22.5" customHeight="1" x14ac:dyDescent="0.25">
      <c r="S458" s="1"/>
      <c r="V458" s="141"/>
      <c r="W458" s="141"/>
      <c r="AF458" s="1"/>
      <c r="AN458" s="1"/>
      <c r="AV458" s="1"/>
    </row>
    <row r="459" spans="19:48" s="21" customFormat="1" ht="22.5" customHeight="1" x14ac:dyDescent="0.25">
      <c r="S459" s="1"/>
      <c r="V459" s="141"/>
      <c r="W459" s="141"/>
      <c r="AF459" s="1"/>
      <c r="AN459" s="1"/>
      <c r="AV459" s="1"/>
    </row>
    <row r="460" spans="19:48" s="21" customFormat="1" ht="22.5" customHeight="1" x14ac:dyDescent="0.25">
      <c r="S460" s="1"/>
      <c r="V460" s="141"/>
      <c r="W460" s="141"/>
      <c r="AF460" s="1"/>
      <c r="AN460" s="1"/>
      <c r="AV460" s="1"/>
    </row>
    <row r="461" spans="19:48" s="21" customFormat="1" ht="22.5" customHeight="1" x14ac:dyDescent="0.25">
      <c r="S461" s="1"/>
      <c r="V461" s="141"/>
      <c r="W461" s="141"/>
      <c r="AF461" s="1"/>
      <c r="AN461" s="1"/>
      <c r="AV461" s="1"/>
    </row>
    <row r="462" spans="19:48" s="21" customFormat="1" ht="22.5" customHeight="1" x14ac:dyDescent="0.25">
      <c r="S462" s="1"/>
      <c r="V462" s="141"/>
      <c r="W462" s="141"/>
      <c r="AF462" s="1"/>
      <c r="AN462" s="1"/>
      <c r="AV462" s="1"/>
    </row>
    <row r="463" spans="19:48" s="21" customFormat="1" ht="22.5" customHeight="1" x14ac:dyDescent="0.25">
      <c r="S463" s="1"/>
      <c r="V463" s="141"/>
      <c r="W463" s="141"/>
      <c r="AF463" s="1"/>
      <c r="AN463" s="1"/>
      <c r="AV463" s="1"/>
    </row>
    <row r="464" spans="19:48" s="21" customFormat="1" ht="22.5" customHeight="1" x14ac:dyDescent="0.25">
      <c r="S464" s="1"/>
      <c r="V464" s="141"/>
      <c r="W464" s="141"/>
      <c r="AF464" s="1"/>
      <c r="AN464" s="1"/>
      <c r="AV464" s="1"/>
    </row>
    <row r="465" spans="19:48" s="21" customFormat="1" ht="22.5" customHeight="1" x14ac:dyDescent="0.25">
      <c r="S465" s="1"/>
      <c r="V465" s="141"/>
      <c r="W465" s="141"/>
      <c r="AF465" s="1"/>
      <c r="AN465" s="1"/>
      <c r="AV465" s="1"/>
    </row>
    <row r="466" spans="19:48" s="21" customFormat="1" ht="22.5" customHeight="1" x14ac:dyDescent="0.25">
      <c r="S466" s="1"/>
      <c r="V466" s="141"/>
      <c r="W466" s="141"/>
      <c r="AF466" s="1"/>
      <c r="AN466" s="1"/>
      <c r="AV466" s="1"/>
    </row>
    <row r="467" spans="19:48" s="21" customFormat="1" ht="22.5" customHeight="1" x14ac:dyDescent="0.25">
      <c r="S467" s="1"/>
      <c r="V467" s="141"/>
      <c r="W467" s="141"/>
      <c r="AF467" s="1"/>
      <c r="AN467" s="1"/>
      <c r="AV467" s="1"/>
    </row>
    <row r="468" spans="19:48" s="21" customFormat="1" ht="22.5" customHeight="1" x14ac:dyDescent="0.25">
      <c r="S468" s="1"/>
      <c r="V468" s="141"/>
      <c r="W468" s="141"/>
      <c r="AF468" s="1"/>
      <c r="AN468" s="1"/>
      <c r="AV468" s="1"/>
    </row>
    <row r="469" spans="19:48" s="21" customFormat="1" ht="22.5" customHeight="1" x14ac:dyDescent="0.25">
      <c r="S469" s="1"/>
      <c r="V469" s="141"/>
      <c r="W469" s="141"/>
      <c r="AF469" s="1"/>
      <c r="AN469" s="1"/>
      <c r="AV469" s="1"/>
    </row>
    <row r="470" spans="19:48" s="21" customFormat="1" ht="22.5" customHeight="1" x14ac:dyDescent="0.25">
      <c r="S470" s="1"/>
      <c r="V470" s="141"/>
      <c r="W470" s="141"/>
      <c r="AF470" s="1"/>
      <c r="AN470" s="1"/>
      <c r="AV470" s="1"/>
    </row>
    <row r="471" spans="19:48" s="21" customFormat="1" ht="22.5" customHeight="1" x14ac:dyDescent="0.25">
      <c r="S471" s="1"/>
      <c r="V471" s="141"/>
      <c r="W471" s="141"/>
      <c r="AF471" s="1"/>
      <c r="AN471" s="1"/>
      <c r="AV471" s="1"/>
    </row>
    <row r="472" spans="19:48" s="21" customFormat="1" ht="22.5" customHeight="1" x14ac:dyDescent="0.25">
      <c r="S472" s="1"/>
      <c r="V472" s="141"/>
      <c r="W472" s="141"/>
      <c r="AF472" s="1"/>
      <c r="AN472" s="1"/>
      <c r="AV472" s="1"/>
    </row>
    <row r="473" spans="19:48" s="21" customFormat="1" ht="22.5" customHeight="1" x14ac:dyDescent="0.25">
      <c r="S473" s="1"/>
      <c r="V473" s="141"/>
      <c r="W473" s="141"/>
      <c r="AF473" s="1"/>
      <c r="AN473" s="1"/>
      <c r="AV473" s="1"/>
    </row>
    <row r="474" spans="19:48" s="21" customFormat="1" ht="22.5" customHeight="1" x14ac:dyDescent="0.25">
      <c r="S474" s="1"/>
      <c r="V474" s="141"/>
      <c r="W474" s="141"/>
      <c r="AF474" s="1"/>
      <c r="AN474" s="1"/>
      <c r="AV474" s="1"/>
    </row>
    <row r="475" spans="19:48" s="21" customFormat="1" ht="22.5" customHeight="1" x14ac:dyDescent="0.25">
      <c r="S475" s="1"/>
      <c r="V475" s="141"/>
      <c r="W475" s="141"/>
      <c r="AF475" s="1"/>
      <c r="AN475" s="1"/>
      <c r="AV475" s="1"/>
    </row>
    <row r="476" spans="19:48" s="21" customFormat="1" ht="22.5" customHeight="1" x14ac:dyDescent="0.25">
      <c r="S476" s="1"/>
      <c r="V476" s="141"/>
      <c r="W476" s="141"/>
      <c r="AF476" s="1"/>
      <c r="AN476" s="1"/>
      <c r="AV476" s="1"/>
    </row>
    <row r="477" spans="19:48" s="21" customFormat="1" ht="22.5" customHeight="1" x14ac:dyDescent="0.25">
      <c r="S477" s="1"/>
      <c r="V477" s="141"/>
      <c r="W477" s="141"/>
      <c r="AF477" s="1"/>
      <c r="AN477" s="1"/>
      <c r="AV477" s="1"/>
    </row>
    <row r="478" spans="19:48" s="21" customFormat="1" ht="22.5" customHeight="1" x14ac:dyDescent="0.25">
      <c r="S478" s="1"/>
      <c r="V478" s="141"/>
      <c r="W478" s="141"/>
      <c r="AF478" s="1"/>
      <c r="AN478" s="1"/>
      <c r="AV478" s="1"/>
    </row>
    <row r="479" spans="19:48" s="21" customFormat="1" ht="22.5" customHeight="1" x14ac:dyDescent="0.25">
      <c r="S479" s="1"/>
      <c r="V479" s="141"/>
      <c r="W479" s="141"/>
      <c r="AF479" s="1"/>
      <c r="AN479" s="1"/>
      <c r="AV479" s="1"/>
    </row>
    <row r="480" spans="19:48" s="21" customFormat="1" ht="22.5" customHeight="1" x14ac:dyDescent="0.25">
      <c r="S480" s="1"/>
      <c r="V480" s="141"/>
      <c r="W480" s="141"/>
      <c r="AF480" s="1"/>
      <c r="AN480" s="1"/>
      <c r="AV480" s="1"/>
    </row>
    <row r="481" spans="19:48" s="21" customFormat="1" ht="22.5" customHeight="1" x14ac:dyDescent="0.25">
      <c r="S481" s="1"/>
      <c r="V481" s="141"/>
      <c r="W481" s="141"/>
      <c r="AF481" s="1"/>
      <c r="AN481" s="1"/>
      <c r="AV481" s="1"/>
    </row>
    <row r="482" spans="19:48" s="21" customFormat="1" ht="22.5" customHeight="1" x14ac:dyDescent="0.25">
      <c r="S482" s="1"/>
      <c r="V482" s="141"/>
      <c r="W482" s="141"/>
      <c r="AF482" s="1"/>
      <c r="AN482" s="1"/>
      <c r="AV482" s="1"/>
    </row>
    <row r="483" spans="19:48" s="21" customFormat="1" ht="22.5" customHeight="1" x14ac:dyDescent="0.25">
      <c r="S483" s="1"/>
      <c r="V483" s="141"/>
      <c r="W483" s="141"/>
      <c r="AF483" s="1"/>
      <c r="AN483" s="1"/>
      <c r="AV483" s="1"/>
    </row>
    <row r="484" spans="19:48" s="21" customFormat="1" ht="22.5" customHeight="1" x14ac:dyDescent="0.25">
      <c r="S484" s="1"/>
      <c r="V484" s="141"/>
      <c r="W484" s="141"/>
      <c r="AF484" s="1"/>
      <c r="AN484" s="1"/>
      <c r="AV484" s="1"/>
    </row>
    <row r="485" spans="19:48" s="21" customFormat="1" ht="22.5" customHeight="1" x14ac:dyDescent="0.25">
      <c r="S485" s="1"/>
      <c r="V485" s="141"/>
      <c r="W485" s="141"/>
      <c r="AF485" s="1"/>
      <c r="AN485" s="1"/>
      <c r="AV485" s="1"/>
    </row>
    <row r="486" spans="19:48" s="21" customFormat="1" ht="22.5" customHeight="1" x14ac:dyDescent="0.25">
      <c r="S486" s="1"/>
      <c r="V486" s="141"/>
      <c r="W486" s="141"/>
      <c r="AF486" s="1"/>
      <c r="AN486" s="1"/>
      <c r="AV486" s="1"/>
    </row>
    <row r="487" spans="19:48" s="21" customFormat="1" ht="22.5" customHeight="1" x14ac:dyDescent="0.25">
      <c r="S487" s="1"/>
      <c r="V487" s="141"/>
      <c r="W487" s="141"/>
      <c r="AF487" s="1"/>
      <c r="AN487" s="1"/>
      <c r="AV487" s="1"/>
    </row>
    <row r="488" spans="19:48" s="21" customFormat="1" ht="22.5" customHeight="1" x14ac:dyDescent="0.25">
      <c r="S488" s="1"/>
      <c r="V488" s="141"/>
      <c r="W488" s="141"/>
      <c r="AF488" s="1"/>
      <c r="AN488" s="1"/>
      <c r="AV488" s="1"/>
    </row>
    <row r="489" spans="19:48" s="21" customFormat="1" ht="22.5" customHeight="1" x14ac:dyDescent="0.25">
      <c r="S489" s="1"/>
      <c r="V489" s="141"/>
      <c r="W489" s="141"/>
      <c r="AF489" s="1"/>
      <c r="AN489" s="1"/>
      <c r="AV489" s="1"/>
    </row>
    <row r="490" spans="19:48" s="21" customFormat="1" ht="22.5" customHeight="1" x14ac:dyDescent="0.25">
      <c r="S490" s="1"/>
      <c r="V490" s="141"/>
      <c r="W490" s="141"/>
      <c r="AF490" s="1"/>
      <c r="AN490" s="1"/>
      <c r="AV490" s="1"/>
    </row>
    <row r="491" spans="19:48" s="21" customFormat="1" ht="22.5" customHeight="1" x14ac:dyDescent="0.25">
      <c r="S491" s="1"/>
      <c r="V491" s="141"/>
      <c r="W491" s="141"/>
      <c r="AF491" s="1"/>
      <c r="AN491" s="1"/>
      <c r="AV491" s="1"/>
    </row>
    <row r="492" spans="19:48" s="21" customFormat="1" ht="22.5" customHeight="1" x14ac:dyDescent="0.25">
      <c r="S492" s="1"/>
      <c r="V492" s="141"/>
      <c r="W492" s="141"/>
      <c r="AF492" s="1"/>
      <c r="AN492" s="1"/>
      <c r="AV492" s="1"/>
    </row>
    <row r="493" spans="19:48" s="21" customFormat="1" ht="22.5" customHeight="1" x14ac:dyDescent="0.25">
      <c r="S493" s="1"/>
      <c r="V493" s="141"/>
      <c r="W493" s="141"/>
      <c r="AF493" s="1"/>
      <c r="AN493" s="1"/>
      <c r="AV493" s="1"/>
    </row>
    <row r="494" spans="19:48" s="21" customFormat="1" ht="22.5" customHeight="1" x14ac:dyDescent="0.25">
      <c r="S494" s="1"/>
      <c r="V494" s="141"/>
      <c r="W494" s="141"/>
      <c r="AF494" s="1"/>
      <c r="AN494" s="1"/>
      <c r="AV494" s="1"/>
    </row>
    <row r="495" spans="19:48" s="21" customFormat="1" ht="22.5" customHeight="1" x14ac:dyDescent="0.25">
      <c r="S495" s="1"/>
      <c r="V495" s="141"/>
      <c r="W495" s="141"/>
      <c r="AF495" s="1"/>
      <c r="AN495" s="1"/>
      <c r="AV495" s="1"/>
    </row>
    <row r="496" spans="19:48" s="21" customFormat="1" ht="22.5" customHeight="1" x14ac:dyDescent="0.25">
      <c r="S496" s="1"/>
      <c r="V496" s="141"/>
      <c r="W496" s="141"/>
      <c r="AF496" s="1"/>
      <c r="AN496" s="1"/>
      <c r="AV496" s="1"/>
    </row>
    <row r="497" spans="19:48" s="21" customFormat="1" ht="22.5" customHeight="1" x14ac:dyDescent="0.25">
      <c r="S497" s="1"/>
      <c r="V497" s="141"/>
      <c r="W497" s="141"/>
      <c r="AF497" s="1"/>
      <c r="AN497" s="1"/>
      <c r="AV497" s="1"/>
    </row>
    <row r="498" spans="19:48" s="21" customFormat="1" ht="22.5" customHeight="1" x14ac:dyDescent="0.25">
      <c r="S498" s="1"/>
      <c r="V498" s="141"/>
      <c r="W498" s="141"/>
      <c r="AF498" s="1"/>
      <c r="AN498" s="1"/>
      <c r="AV498" s="1"/>
    </row>
    <row r="499" spans="19:48" s="21" customFormat="1" ht="22.5" customHeight="1" x14ac:dyDescent="0.25">
      <c r="S499" s="1"/>
      <c r="V499" s="141"/>
      <c r="W499" s="141"/>
      <c r="AF499" s="1"/>
      <c r="AN499" s="1"/>
      <c r="AV499" s="1"/>
    </row>
    <row r="500" spans="19:48" s="21" customFormat="1" ht="22.5" customHeight="1" x14ac:dyDescent="0.25">
      <c r="S500" s="1"/>
      <c r="V500" s="141"/>
      <c r="W500" s="141"/>
      <c r="AF500" s="1"/>
      <c r="AN500" s="1"/>
      <c r="AV500" s="1"/>
    </row>
    <row r="501" spans="19:48" s="21" customFormat="1" ht="22.5" customHeight="1" x14ac:dyDescent="0.25">
      <c r="S501" s="1"/>
      <c r="V501" s="141"/>
      <c r="W501" s="141"/>
      <c r="AF501" s="1"/>
      <c r="AN501" s="1"/>
      <c r="AV501" s="1"/>
    </row>
    <row r="502" spans="19:48" s="21" customFormat="1" ht="22.5" customHeight="1" x14ac:dyDescent="0.25">
      <c r="S502" s="1"/>
      <c r="V502" s="141"/>
      <c r="W502" s="141"/>
      <c r="AF502" s="1"/>
      <c r="AN502" s="1"/>
      <c r="AV502" s="1"/>
    </row>
    <row r="503" spans="19:48" s="21" customFormat="1" ht="22.5" customHeight="1" x14ac:dyDescent="0.25">
      <c r="S503" s="1"/>
      <c r="V503" s="141"/>
      <c r="W503" s="141"/>
      <c r="AF503" s="1"/>
      <c r="AN503" s="1"/>
      <c r="AV503" s="1"/>
    </row>
    <row r="504" spans="19:48" s="21" customFormat="1" ht="22.5" customHeight="1" x14ac:dyDescent="0.25">
      <c r="S504" s="1"/>
      <c r="V504" s="141"/>
      <c r="W504" s="141"/>
      <c r="AF504" s="1"/>
      <c r="AN504" s="1"/>
      <c r="AV504" s="1"/>
    </row>
    <row r="505" spans="19:48" s="21" customFormat="1" ht="22.5" customHeight="1" x14ac:dyDescent="0.25">
      <c r="S505" s="1"/>
      <c r="V505" s="141"/>
      <c r="W505" s="141"/>
      <c r="AF505" s="1"/>
      <c r="AN505" s="1"/>
      <c r="AV505" s="1"/>
    </row>
    <row r="506" spans="19:48" s="21" customFormat="1" ht="22.5" customHeight="1" x14ac:dyDescent="0.25">
      <c r="S506" s="1"/>
      <c r="V506" s="141"/>
      <c r="W506" s="141"/>
      <c r="AF506" s="1"/>
      <c r="AN506" s="1"/>
      <c r="AV506" s="1"/>
    </row>
    <row r="507" spans="19:48" s="21" customFormat="1" ht="22.5" customHeight="1" x14ac:dyDescent="0.25">
      <c r="S507" s="1"/>
      <c r="V507" s="141"/>
      <c r="W507" s="141"/>
      <c r="AF507" s="1"/>
      <c r="AN507" s="1"/>
      <c r="AV507" s="1"/>
    </row>
    <row r="508" spans="19:48" s="21" customFormat="1" ht="22.5" customHeight="1" x14ac:dyDescent="0.25">
      <c r="S508" s="1"/>
      <c r="V508" s="141"/>
      <c r="W508" s="141"/>
      <c r="AF508" s="1"/>
      <c r="AN508" s="1"/>
      <c r="AV508" s="1"/>
    </row>
    <row r="509" spans="19:48" s="21" customFormat="1" ht="22.5" customHeight="1" x14ac:dyDescent="0.25">
      <c r="S509" s="1"/>
      <c r="V509" s="141"/>
      <c r="W509" s="141"/>
      <c r="AF509" s="1"/>
      <c r="AN509" s="1"/>
      <c r="AV509" s="1"/>
    </row>
    <row r="510" spans="19:48" s="21" customFormat="1" ht="22.5" customHeight="1" x14ac:dyDescent="0.25">
      <c r="S510" s="1"/>
      <c r="V510" s="141"/>
      <c r="W510" s="141"/>
      <c r="AF510" s="1"/>
      <c r="AN510" s="1"/>
      <c r="AV510" s="1"/>
    </row>
    <row r="511" spans="19:48" s="21" customFormat="1" ht="22.5" customHeight="1" x14ac:dyDescent="0.25">
      <c r="S511" s="1"/>
      <c r="V511" s="141"/>
      <c r="W511" s="141"/>
      <c r="AF511" s="1"/>
      <c r="AN511" s="1"/>
      <c r="AV511" s="1"/>
    </row>
    <row r="512" spans="19:48" s="21" customFormat="1" ht="22.5" customHeight="1" x14ac:dyDescent="0.25">
      <c r="S512" s="1"/>
      <c r="V512" s="141"/>
      <c r="W512" s="141"/>
      <c r="AF512" s="1"/>
      <c r="AN512" s="1"/>
      <c r="AV512" s="1"/>
    </row>
    <row r="513" spans="19:48" s="21" customFormat="1" ht="22.5" customHeight="1" x14ac:dyDescent="0.25">
      <c r="S513" s="1"/>
      <c r="V513" s="141"/>
      <c r="W513" s="141"/>
      <c r="AF513" s="1"/>
      <c r="AN513" s="1"/>
      <c r="AV513" s="1"/>
    </row>
    <row r="514" spans="19:48" s="21" customFormat="1" ht="22.5" customHeight="1" x14ac:dyDescent="0.25">
      <c r="S514" s="1"/>
      <c r="V514" s="141"/>
      <c r="W514" s="141"/>
      <c r="AF514" s="1"/>
      <c r="AN514" s="1"/>
      <c r="AV514" s="1"/>
    </row>
    <row r="515" spans="19:48" s="21" customFormat="1" ht="22.5" customHeight="1" x14ac:dyDescent="0.25">
      <c r="S515" s="1"/>
      <c r="V515" s="141"/>
      <c r="W515" s="141"/>
      <c r="AF515" s="1"/>
      <c r="AN515" s="1"/>
      <c r="AV515" s="1"/>
    </row>
    <row r="516" spans="19:48" s="21" customFormat="1" ht="22.5" customHeight="1" x14ac:dyDescent="0.25">
      <c r="S516" s="1"/>
      <c r="V516" s="141"/>
      <c r="W516" s="141"/>
      <c r="AF516" s="1"/>
      <c r="AN516" s="1"/>
      <c r="AV516" s="1"/>
    </row>
    <row r="517" spans="19:48" s="21" customFormat="1" ht="22.5" customHeight="1" x14ac:dyDescent="0.25">
      <c r="S517" s="1"/>
      <c r="V517" s="141"/>
      <c r="W517" s="141"/>
      <c r="AF517" s="1"/>
      <c r="AN517" s="1"/>
      <c r="AV517" s="1"/>
    </row>
    <row r="518" spans="19:48" s="21" customFormat="1" ht="22.5" customHeight="1" x14ac:dyDescent="0.25">
      <c r="S518" s="1"/>
      <c r="V518" s="141"/>
      <c r="W518" s="141"/>
      <c r="AF518" s="1"/>
      <c r="AN518" s="1"/>
      <c r="AV518" s="1"/>
    </row>
    <row r="519" spans="19:48" s="21" customFormat="1" ht="22.5" customHeight="1" x14ac:dyDescent="0.25">
      <c r="S519" s="1"/>
      <c r="V519" s="141"/>
      <c r="W519" s="141"/>
      <c r="AF519" s="1"/>
      <c r="AN519" s="1"/>
      <c r="AV519" s="1"/>
    </row>
    <row r="520" spans="19:48" s="21" customFormat="1" ht="22.5" customHeight="1" x14ac:dyDescent="0.25">
      <c r="S520" s="1"/>
      <c r="V520" s="141"/>
      <c r="W520" s="141"/>
      <c r="AF520" s="1"/>
      <c r="AN520" s="1"/>
      <c r="AV520" s="1"/>
    </row>
    <row r="521" spans="19:48" s="21" customFormat="1" ht="22.5" customHeight="1" x14ac:dyDescent="0.25">
      <c r="S521" s="1"/>
      <c r="V521" s="141"/>
      <c r="W521" s="141"/>
      <c r="AF521" s="1"/>
      <c r="AN521" s="1"/>
      <c r="AV521" s="1"/>
    </row>
    <row r="522" spans="19:48" s="21" customFormat="1" ht="22.5" customHeight="1" x14ac:dyDescent="0.25">
      <c r="S522" s="1"/>
      <c r="V522" s="141"/>
      <c r="W522" s="141"/>
      <c r="AF522" s="1"/>
      <c r="AN522" s="1"/>
      <c r="AV522" s="1"/>
    </row>
    <row r="523" spans="19:48" s="21" customFormat="1" ht="22.5" customHeight="1" x14ac:dyDescent="0.25">
      <c r="S523" s="1"/>
      <c r="V523" s="141"/>
      <c r="W523" s="141"/>
      <c r="AF523" s="1"/>
      <c r="AN523" s="1"/>
      <c r="AV523" s="1"/>
    </row>
    <row r="524" spans="19:48" s="21" customFormat="1" ht="22.5" customHeight="1" x14ac:dyDescent="0.25">
      <c r="S524" s="1"/>
      <c r="V524" s="141"/>
      <c r="W524" s="141"/>
      <c r="AF524" s="1"/>
      <c r="AN524" s="1"/>
      <c r="AV524" s="1"/>
    </row>
    <row r="525" spans="19:48" s="21" customFormat="1" ht="22.5" customHeight="1" x14ac:dyDescent="0.25">
      <c r="S525" s="1"/>
      <c r="V525" s="141"/>
      <c r="W525" s="141"/>
      <c r="AF525" s="1"/>
      <c r="AN525" s="1"/>
      <c r="AV525" s="1"/>
    </row>
    <row r="526" spans="19:48" s="21" customFormat="1" ht="22.5" customHeight="1" x14ac:dyDescent="0.25">
      <c r="S526" s="1"/>
      <c r="V526" s="141"/>
      <c r="W526" s="141"/>
      <c r="AF526" s="1"/>
      <c r="AN526" s="1"/>
      <c r="AV526" s="1"/>
    </row>
    <row r="527" spans="19:48" s="21" customFormat="1" ht="22.5" customHeight="1" x14ac:dyDescent="0.25">
      <c r="S527" s="1"/>
      <c r="V527" s="141"/>
      <c r="W527" s="141"/>
      <c r="AF527" s="1"/>
      <c r="AN527" s="1"/>
      <c r="AV527" s="1"/>
    </row>
    <row r="528" spans="19:48" s="21" customFormat="1" ht="22.5" customHeight="1" x14ac:dyDescent="0.25">
      <c r="S528" s="1"/>
      <c r="V528" s="141"/>
      <c r="W528" s="141"/>
      <c r="AF528" s="1"/>
      <c r="AN528" s="1"/>
      <c r="AV528" s="1"/>
    </row>
    <row r="529" spans="19:48" s="21" customFormat="1" ht="22.5" customHeight="1" x14ac:dyDescent="0.25">
      <c r="S529" s="1"/>
      <c r="V529" s="141"/>
      <c r="W529" s="141"/>
      <c r="AF529" s="1"/>
      <c r="AN529" s="1"/>
      <c r="AV529" s="1"/>
    </row>
    <row r="530" spans="19:48" s="21" customFormat="1" ht="22.5" customHeight="1" x14ac:dyDescent="0.25">
      <c r="S530" s="1"/>
      <c r="V530" s="141"/>
      <c r="W530" s="141"/>
      <c r="AF530" s="1"/>
      <c r="AN530" s="1"/>
      <c r="AV530" s="1"/>
    </row>
    <row r="531" spans="19:48" s="21" customFormat="1" ht="22.5" customHeight="1" x14ac:dyDescent="0.25">
      <c r="S531" s="1"/>
      <c r="V531" s="141"/>
      <c r="W531" s="141"/>
      <c r="AF531" s="1"/>
      <c r="AN531" s="1"/>
      <c r="AV531" s="1"/>
    </row>
    <row r="532" spans="19:48" s="21" customFormat="1" ht="22.5" customHeight="1" x14ac:dyDescent="0.25">
      <c r="S532" s="1"/>
      <c r="V532" s="141"/>
      <c r="W532" s="141"/>
      <c r="AF532" s="1"/>
      <c r="AN532" s="1"/>
      <c r="AV532" s="1"/>
    </row>
    <row r="533" spans="19:48" s="21" customFormat="1" ht="22.5" customHeight="1" x14ac:dyDescent="0.25">
      <c r="S533" s="1"/>
      <c r="V533" s="141"/>
      <c r="W533" s="141"/>
      <c r="AF533" s="1"/>
      <c r="AN533" s="1"/>
      <c r="AV533" s="1"/>
    </row>
    <row r="534" spans="19:48" s="21" customFormat="1" ht="22.5" customHeight="1" x14ac:dyDescent="0.25">
      <c r="S534" s="1"/>
      <c r="V534" s="141"/>
      <c r="W534" s="141"/>
      <c r="AF534" s="1"/>
      <c r="AN534" s="1"/>
      <c r="AV534" s="1"/>
    </row>
    <row r="535" spans="19:48" s="21" customFormat="1" ht="22.5" customHeight="1" x14ac:dyDescent="0.25">
      <c r="S535" s="1"/>
      <c r="V535" s="141"/>
      <c r="W535" s="141"/>
      <c r="AF535" s="1"/>
      <c r="AN535" s="1"/>
      <c r="AV535" s="1"/>
    </row>
    <row r="536" spans="19:48" s="21" customFormat="1" ht="22.5" customHeight="1" x14ac:dyDescent="0.25">
      <c r="S536" s="1"/>
      <c r="V536" s="141"/>
      <c r="W536" s="141"/>
      <c r="AF536" s="1"/>
      <c r="AN536" s="1"/>
      <c r="AV536" s="1"/>
    </row>
    <row r="537" spans="19:48" s="21" customFormat="1" ht="22.5" customHeight="1" x14ac:dyDescent="0.25">
      <c r="S537" s="1"/>
      <c r="V537" s="141"/>
      <c r="W537" s="141"/>
      <c r="AF537" s="1"/>
      <c r="AN537" s="1"/>
      <c r="AV537" s="1"/>
    </row>
    <row r="538" spans="19:48" s="21" customFormat="1" ht="22.5" customHeight="1" x14ac:dyDescent="0.25">
      <c r="S538" s="1"/>
      <c r="V538" s="141"/>
      <c r="W538" s="141"/>
      <c r="AF538" s="1"/>
      <c r="AN538" s="1"/>
      <c r="AV538" s="1"/>
    </row>
    <row r="539" spans="19:48" s="21" customFormat="1" ht="22.5" customHeight="1" x14ac:dyDescent="0.25">
      <c r="S539" s="1"/>
      <c r="V539" s="141"/>
      <c r="W539" s="141"/>
      <c r="AF539" s="1"/>
      <c r="AN539" s="1"/>
      <c r="AV539" s="1"/>
    </row>
    <row r="540" spans="19:48" s="21" customFormat="1" ht="22.5" customHeight="1" x14ac:dyDescent="0.25">
      <c r="S540" s="1"/>
      <c r="V540" s="141"/>
      <c r="W540" s="141"/>
      <c r="AF540" s="1"/>
      <c r="AN540" s="1"/>
      <c r="AV540" s="1"/>
    </row>
    <row r="541" spans="19:48" s="21" customFormat="1" ht="22.5" customHeight="1" x14ac:dyDescent="0.25">
      <c r="S541" s="1"/>
      <c r="V541" s="141"/>
      <c r="W541" s="141"/>
      <c r="AF541" s="1"/>
      <c r="AN541" s="1"/>
      <c r="AV541" s="1"/>
    </row>
    <row r="542" spans="19:48" s="21" customFormat="1" ht="22.5" customHeight="1" x14ac:dyDescent="0.25">
      <c r="S542" s="1"/>
      <c r="V542" s="141"/>
      <c r="W542" s="141"/>
      <c r="AF542" s="1"/>
      <c r="AN542" s="1"/>
      <c r="AV542" s="1"/>
    </row>
    <row r="543" spans="19:48" s="21" customFormat="1" ht="22.5" customHeight="1" x14ac:dyDescent="0.25">
      <c r="S543" s="1"/>
      <c r="V543" s="141"/>
      <c r="W543" s="141"/>
      <c r="AF543" s="1"/>
      <c r="AN543" s="1"/>
      <c r="AV543" s="1"/>
    </row>
    <row r="544" spans="19:48" s="21" customFormat="1" ht="22.5" customHeight="1" x14ac:dyDescent="0.25">
      <c r="S544" s="1"/>
      <c r="V544" s="141"/>
      <c r="W544" s="141"/>
      <c r="AF544" s="1"/>
      <c r="AN544" s="1"/>
      <c r="AV544" s="1"/>
    </row>
    <row r="545" spans="19:48" s="21" customFormat="1" ht="22.5" customHeight="1" x14ac:dyDescent="0.25">
      <c r="S545" s="1"/>
      <c r="V545" s="141"/>
      <c r="W545" s="141"/>
      <c r="AF545" s="1"/>
      <c r="AN545" s="1"/>
      <c r="AV545" s="1"/>
    </row>
    <row r="546" spans="19:48" s="21" customFormat="1" ht="22.5" customHeight="1" x14ac:dyDescent="0.25">
      <c r="S546" s="1"/>
      <c r="V546" s="141"/>
      <c r="W546" s="141"/>
      <c r="AF546" s="1"/>
      <c r="AN546" s="1"/>
      <c r="AV546" s="1"/>
    </row>
    <row r="547" spans="19:48" s="21" customFormat="1" ht="22.5" customHeight="1" x14ac:dyDescent="0.25">
      <c r="S547" s="1"/>
      <c r="V547" s="141"/>
      <c r="W547" s="141"/>
      <c r="AF547" s="1"/>
      <c r="AN547" s="1"/>
      <c r="AV547" s="1"/>
    </row>
    <row r="548" spans="19:48" s="21" customFormat="1" ht="22.5" customHeight="1" x14ac:dyDescent="0.25">
      <c r="S548" s="1"/>
      <c r="V548" s="141"/>
      <c r="W548" s="141"/>
      <c r="AF548" s="1"/>
      <c r="AN548" s="1"/>
      <c r="AV548" s="1"/>
    </row>
    <row r="549" spans="19:48" s="21" customFormat="1" ht="22.5" customHeight="1" x14ac:dyDescent="0.25">
      <c r="S549" s="1"/>
      <c r="V549" s="141"/>
      <c r="W549" s="141"/>
      <c r="AF549" s="1"/>
      <c r="AN549" s="1"/>
      <c r="AV549" s="1"/>
    </row>
    <row r="550" spans="19:48" s="21" customFormat="1" ht="22.5" customHeight="1" x14ac:dyDescent="0.25">
      <c r="S550" s="1"/>
      <c r="V550" s="141"/>
      <c r="W550" s="141"/>
      <c r="AF550" s="1"/>
      <c r="AN550" s="1"/>
      <c r="AV550" s="1"/>
    </row>
    <row r="551" spans="19:48" s="21" customFormat="1" ht="22.5" customHeight="1" x14ac:dyDescent="0.25">
      <c r="S551" s="1"/>
      <c r="V551" s="141"/>
      <c r="W551" s="141"/>
      <c r="AF551" s="1"/>
      <c r="AN551" s="1"/>
      <c r="AV551" s="1"/>
    </row>
    <row r="552" spans="19:48" s="21" customFormat="1" ht="22.5" customHeight="1" x14ac:dyDescent="0.25">
      <c r="S552" s="1"/>
      <c r="V552" s="141"/>
      <c r="W552" s="141"/>
      <c r="AF552" s="1"/>
      <c r="AN552" s="1"/>
      <c r="AV552" s="1"/>
    </row>
    <row r="553" spans="19:48" s="21" customFormat="1" ht="22.5" customHeight="1" x14ac:dyDescent="0.25">
      <c r="S553" s="1"/>
      <c r="V553" s="141"/>
      <c r="W553" s="141"/>
      <c r="AF553" s="1"/>
      <c r="AN553" s="1"/>
      <c r="AV553" s="1"/>
    </row>
    <row r="554" spans="19:48" s="21" customFormat="1" ht="22.5" customHeight="1" x14ac:dyDescent="0.25">
      <c r="S554" s="1"/>
      <c r="V554" s="141"/>
      <c r="W554" s="141"/>
      <c r="AF554" s="1"/>
      <c r="AN554" s="1"/>
      <c r="AV554" s="1"/>
    </row>
    <row r="555" spans="19:48" s="21" customFormat="1" ht="22.5" customHeight="1" x14ac:dyDescent="0.25">
      <c r="S555" s="1"/>
      <c r="V555" s="141"/>
      <c r="W555" s="141"/>
      <c r="AF555" s="1"/>
      <c r="AN555" s="1"/>
      <c r="AV555" s="1"/>
    </row>
    <row r="556" spans="19:48" s="21" customFormat="1" ht="22.5" customHeight="1" x14ac:dyDescent="0.25">
      <c r="S556" s="1"/>
      <c r="V556" s="141"/>
      <c r="W556" s="141"/>
      <c r="AF556" s="1"/>
      <c r="AN556" s="1"/>
      <c r="AV556" s="1"/>
    </row>
    <row r="557" spans="19:48" s="21" customFormat="1" ht="22.5" customHeight="1" x14ac:dyDescent="0.25">
      <c r="S557" s="1"/>
      <c r="V557" s="141"/>
      <c r="W557" s="141"/>
      <c r="AF557" s="1"/>
      <c r="AN557" s="1"/>
      <c r="AV557" s="1"/>
    </row>
    <row r="558" spans="19:48" s="21" customFormat="1" ht="22.5" customHeight="1" x14ac:dyDescent="0.25">
      <c r="S558" s="1"/>
      <c r="V558" s="141"/>
      <c r="W558" s="141"/>
      <c r="AF558" s="1"/>
      <c r="AN558" s="1"/>
      <c r="AV558" s="1"/>
    </row>
    <row r="559" spans="19:48" s="21" customFormat="1" ht="22.5" customHeight="1" x14ac:dyDescent="0.25">
      <c r="S559" s="1"/>
      <c r="V559" s="141"/>
      <c r="W559" s="141"/>
      <c r="AF559" s="1"/>
      <c r="AN559" s="1"/>
      <c r="AV559" s="1"/>
    </row>
    <row r="560" spans="19:48" s="21" customFormat="1" ht="22.5" customHeight="1" x14ac:dyDescent="0.25">
      <c r="S560" s="1"/>
      <c r="V560" s="141"/>
      <c r="W560" s="141"/>
      <c r="AF560" s="1"/>
      <c r="AN560" s="1"/>
      <c r="AV560" s="1"/>
    </row>
    <row r="561" spans="19:48" s="21" customFormat="1" ht="22.5" customHeight="1" x14ac:dyDescent="0.25">
      <c r="S561" s="1"/>
      <c r="V561" s="141"/>
      <c r="W561" s="141"/>
      <c r="AF561" s="1"/>
      <c r="AN561" s="1"/>
      <c r="AV561" s="1"/>
    </row>
    <row r="562" spans="19:48" s="21" customFormat="1" ht="22.5" customHeight="1" x14ac:dyDescent="0.25">
      <c r="S562" s="1"/>
      <c r="V562" s="141"/>
      <c r="W562" s="141"/>
      <c r="AF562" s="1"/>
      <c r="AN562" s="1"/>
      <c r="AV562" s="1"/>
    </row>
    <row r="563" spans="19:48" s="21" customFormat="1" ht="22.5" customHeight="1" x14ac:dyDescent="0.25">
      <c r="S563" s="1"/>
      <c r="V563" s="141"/>
      <c r="W563" s="141"/>
      <c r="AF563" s="1"/>
      <c r="AN563" s="1"/>
      <c r="AV563" s="1"/>
    </row>
    <row r="564" spans="19:48" s="21" customFormat="1" ht="22.5" customHeight="1" x14ac:dyDescent="0.25">
      <c r="S564" s="1"/>
      <c r="V564" s="141"/>
      <c r="W564" s="141"/>
      <c r="AF564" s="1"/>
      <c r="AN564" s="1"/>
      <c r="AV564" s="1"/>
    </row>
    <row r="565" spans="19:48" s="21" customFormat="1" ht="22.5" customHeight="1" x14ac:dyDescent="0.25">
      <c r="S565" s="1"/>
      <c r="V565" s="141"/>
      <c r="W565" s="141"/>
      <c r="AF565" s="1"/>
      <c r="AN565" s="1"/>
      <c r="AV565" s="1"/>
    </row>
    <row r="566" spans="19:48" s="21" customFormat="1" ht="22.5" customHeight="1" x14ac:dyDescent="0.25">
      <c r="S566" s="1"/>
      <c r="V566" s="141"/>
      <c r="W566" s="141"/>
      <c r="AF566" s="1"/>
      <c r="AN566" s="1"/>
      <c r="AV566" s="1"/>
    </row>
    <row r="567" spans="19:48" s="21" customFormat="1" ht="22.5" customHeight="1" x14ac:dyDescent="0.25">
      <c r="S567" s="1"/>
      <c r="V567" s="141"/>
      <c r="W567" s="141"/>
      <c r="AF567" s="1"/>
      <c r="AN567" s="1"/>
      <c r="AV567" s="1"/>
    </row>
    <row r="568" spans="19:48" s="21" customFormat="1" ht="22.5" customHeight="1" x14ac:dyDescent="0.25">
      <c r="S568" s="1"/>
      <c r="V568" s="141"/>
      <c r="W568" s="141"/>
      <c r="AF568" s="1"/>
      <c r="AN568" s="1"/>
      <c r="AV568" s="1"/>
    </row>
    <row r="569" spans="19:48" s="21" customFormat="1" ht="22.5" customHeight="1" x14ac:dyDescent="0.25">
      <c r="S569" s="1"/>
      <c r="V569" s="141"/>
      <c r="W569" s="141"/>
      <c r="AF569" s="1"/>
      <c r="AN569" s="1"/>
      <c r="AV569" s="1"/>
    </row>
    <row r="570" spans="19:48" s="21" customFormat="1" ht="22.5" customHeight="1" x14ac:dyDescent="0.25">
      <c r="S570" s="1"/>
      <c r="V570" s="141"/>
      <c r="W570" s="141"/>
      <c r="AF570" s="1"/>
      <c r="AN570" s="1"/>
      <c r="AV570" s="1"/>
    </row>
    <row r="571" spans="19:48" s="21" customFormat="1" ht="22.5" customHeight="1" x14ac:dyDescent="0.25">
      <c r="S571" s="1"/>
      <c r="V571" s="141"/>
      <c r="W571" s="141"/>
      <c r="AF571" s="1"/>
      <c r="AN571" s="1"/>
      <c r="AV571" s="1"/>
    </row>
    <row r="572" spans="19:48" s="21" customFormat="1" ht="22.5" customHeight="1" x14ac:dyDescent="0.25">
      <c r="S572" s="1"/>
      <c r="V572" s="141"/>
      <c r="W572" s="141"/>
      <c r="AF572" s="1"/>
      <c r="AN572" s="1"/>
      <c r="AV572" s="1"/>
    </row>
    <row r="573" spans="19:48" s="21" customFormat="1" ht="22.5" customHeight="1" x14ac:dyDescent="0.25">
      <c r="S573" s="1"/>
      <c r="V573" s="141"/>
      <c r="W573" s="141"/>
      <c r="AF573" s="1"/>
      <c r="AN573" s="1"/>
      <c r="AV573" s="1"/>
    </row>
    <row r="574" spans="19:48" s="21" customFormat="1" ht="22.5" customHeight="1" x14ac:dyDescent="0.25">
      <c r="S574" s="1"/>
      <c r="V574" s="141"/>
      <c r="W574" s="141"/>
      <c r="AF574" s="1"/>
      <c r="AN574" s="1"/>
      <c r="AV574" s="1"/>
    </row>
    <row r="575" spans="19:48" s="21" customFormat="1" ht="22.5" customHeight="1" x14ac:dyDescent="0.25">
      <c r="S575" s="1"/>
      <c r="V575" s="141"/>
      <c r="W575" s="141"/>
      <c r="AF575" s="1"/>
      <c r="AN575" s="1"/>
      <c r="AV575" s="1"/>
    </row>
    <row r="576" spans="19:48" s="21" customFormat="1" ht="22.5" customHeight="1" x14ac:dyDescent="0.25">
      <c r="S576" s="1"/>
      <c r="V576" s="141"/>
      <c r="W576" s="141"/>
      <c r="AF576" s="1"/>
      <c r="AN576" s="1"/>
      <c r="AV576" s="1"/>
    </row>
    <row r="577" spans="19:48" s="21" customFormat="1" ht="22.5" customHeight="1" x14ac:dyDescent="0.25">
      <c r="S577" s="1"/>
      <c r="V577" s="141"/>
      <c r="W577" s="141"/>
      <c r="AF577" s="1"/>
      <c r="AN577" s="1"/>
      <c r="AV577" s="1"/>
    </row>
    <row r="578" spans="19:48" s="21" customFormat="1" ht="22.5" customHeight="1" x14ac:dyDescent="0.25">
      <c r="S578" s="1"/>
      <c r="V578" s="141"/>
      <c r="W578" s="141"/>
      <c r="AF578" s="1"/>
      <c r="AN578" s="1"/>
      <c r="AV578" s="1"/>
    </row>
    <row r="579" spans="19:48" s="21" customFormat="1" ht="22.5" customHeight="1" x14ac:dyDescent="0.25">
      <c r="S579" s="1"/>
      <c r="V579" s="141"/>
      <c r="W579" s="141"/>
      <c r="AF579" s="1"/>
      <c r="AN579" s="1"/>
      <c r="AV579" s="1"/>
    </row>
    <row r="580" spans="19:48" s="21" customFormat="1" ht="22.5" customHeight="1" x14ac:dyDescent="0.25">
      <c r="S580" s="1"/>
      <c r="V580" s="141"/>
      <c r="W580" s="141"/>
      <c r="AF580" s="1"/>
      <c r="AN580" s="1"/>
      <c r="AV580" s="1"/>
    </row>
    <row r="581" spans="19:48" s="21" customFormat="1" ht="22.5" customHeight="1" x14ac:dyDescent="0.25">
      <c r="S581" s="1"/>
      <c r="V581" s="141"/>
      <c r="W581" s="141"/>
      <c r="AF581" s="1"/>
      <c r="AN581" s="1"/>
      <c r="AV581" s="1"/>
    </row>
    <row r="582" spans="19:48" s="21" customFormat="1" ht="22.5" customHeight="1" x14ac:dyDescent="0.25">
      <c r="S582" s="1"/>
      <c r="V582" s="141"/>
      <c r="W582" s="141"/>
      <c r="AF582" s="1"/>
      <c r="AN582" s="1"/>
      <c r="AV582" s="1"/>
    </row>
    <row r="583" spans="19:48" s="21" customFormat="1" ht="22.5" customHeight="1" x14ac:dyDescent="0.25">
      <c r="S583" s="1"/>
      <c r="V583" s="141"/>
      <c r="W583" s="141"/>
      <c r="AF583" s="1"/>
      <c r="AN583" s="1"/>
      <c r="AV583" s="1"/>
    </row>
    <row r="584" spans="19:48" s="21" customFormat="1" ht="22.5" customHeight="1" x14ac:dyDescent="0.25">
      <c r="S584" s="1"/>
      <c r="V584" s="141"/>
      <c r="W584" s="141"/>
      <c r="AF584" s="1"/>
      <c r="AN584" s="1"/>
      <c r="AV584" s="1"/>
    </row>
    <row r="585" spans="19:48" s="21" customFormat="1" ht="22.5" customHeight="1" x14ac:dyDescent="0.25">
      <c r="S585" s="1"/>
      <c r="V585" s="141"/>
      <c r="W585" s="141"/>
      <c r="AF585" s="1"/>
      <c r="AN585" s="1"/>
      <c r="AV585" s="1"/>
    </row>
    <row r="586" spans="19:48" s="21" customFormat="1" ht="22.5" customHeight="1" x14ac:dyDescent="0.25">
      <c r="S586" s="1"/>
      <c r="V586" s="141"/>
      <c r="W586" s="141"/>
      <c r="AF586" s="1"/>
      <c r="AN586" s="1"/>
      <c r="AV586" s="1"/>
    </row>
    <row r="587" spans="19:48" s="21" customFormat="1" ht="22.5" customHeight="1" x14ac:dyDescent="0.25">
      <c r="S587" s="1"/>
      <c r="V587" s="141"/>
      <c r="W587" s="141"/>
      <c r="AF587" s="1"/>
      <c r="AN587" s="1"/>
      <c r="AV587" s="1"/>
    </row>
    <row r="588" spans="19:48" s="21" customFormat="1" ht="22.5" customHeight="1" x14ac:dyDescent="0.25">
      <c r="S588" s="1"/>
      <c r="V588" s="141"/>
      <c r="W588" s="141"/>
      <c r="AF588" s="1"/>
      <c r="AN588" s="1"/>
      <c r="AV588" s="1"/>
    </row>
    <row r="589" spans="19:48" s="21" customFormat="1" ht="22.5" customHeight="1" x14ac:dyDescent="0.25">
      <c r="S589" s="1"/>
      <c r="V589" s="141"/>
      <c r="W589" s="141"/>
      <c r="AF589" s="1"/>
      <c r="AN589" s="1"/>
      <c r="AV589" s="1"/>
    </row>
    <row r="590" spans="19:48" s="21" customFormat="1" ht="22.5" customHeight="1" x14ac:dyDescent="0.25">
      <c r="S590" s="1"/>
      <c r="V590" s="141"/>
      <c r="W590" s="141"/>
      <c r="AF590" s="1"/>
      <c r="AN590" s="1"/>
      <c r="AV590" s="1"/>
    </row>
    <row r="591" spans="19:48" s="21" customFormat="1" ht="22.5" customHeight="1" x14ac:dyDescent="0.25">
      <c r="S591" s="1"/>
      <c r="V591" s="141"/>
      <c r="W591" s="141"/>
      <c r="AF591" s="1"/>
      <c r="AN591" s="1"/>
      <c r="AV591" s="1"/>
    </row>
    <row r="592" spans="19:48" s="21" customFormat="1" ht="22.5" customHeight="1" x14ac:dyDescent="0.25">
      <c r="S592" s="1"/>
      <c r="V592" s="141"/>
      <c r="W592" s="141"/>
      <c r="AF592" s="1"/>
      <c r="AN592" s="1"/>
      <c r="AV592" s="1"/>
    </row>
    <row r="593" spans="19:48" s="21" customFormat="1" ht="22.5" customHeight="1" x14ac:dyDescent="0.25">
      <c r="S593" s="1"/>
      <c r="V593" s="141"/>
      <c r="W593" s="141"/>
      <c r="AF593" s="1"/>
      <c r="AN593" s="1"/>
      <c r="AV593" s="1"/>
    </row>
    <row r="594" spans="19:48" s="21" customFormat="1" ht="22.5" customHeight="1" x14ac:dyDescent="0.25">
      <c r="S594" s="1"/>
      <c r="V594" s="141"/>
      <c r="W594" s="141"/>
      <c r="AF594" s="1"/>
      <c r="AN594" s="1"/>
      <c r="AV594" s="1"/>
    </row>
    <row r="595" spans="19:48" s="21" customFormat="1" ht="22.5" customHeight="1" x14ac:dyDescent="0.25">
      <c r="S595" s="1"/>
      <c r="V595" s="141"/>
      <c r="W595" s="141"/>
      <c r="AF595" s="1"/>
      <c r="AN595" s="1"/>
      <c r="AV595" s="1"/>
    </row>
    <row r="596" spans="19:48" s="21" customFormat="1" ht="22.5" customHeight="1" x14ac:dyDescent="0.25">
      <c r="S596" s="1"/>
      <c r="V596" s="141"/>
      <c r="W596" s="141"/>
      <c r="AF596" s="1"/>
      <c r="AN596" s="1"/>
      <c r="AV596" s="1"/>
    </row>
    <row r="597" spans="19:48" s="21" customFormat="1" ht="22.5" customHeight="1" x14ac:dyDescent="0.25">
      <c r="S597" s="1"/>
      <c r="V597" s="141"/>
      <c r="W597" s="141"/>
      <c r="AF597" s="1"/>
      <c r="AN597" s="1"/>
      <c r="AV597" s="1"/>
    </row>
    <row r="598" spans="19:48" s="21" customFormat="1" ht="22.5" customHeight="1" x14ac:dyDescent="0.25">
      <c r="S598" s="1"/>
      <c r="V598" s="141"/>
      <c r="W598" s="141"/>
      <c r="AF598" s="1"/>
      <c r="AN598" s="1"/>
      <c r="AV598" s="1"/>
    </row>
    <row r="599" spans="19:48" s="21" customFormat="1" ht="22.5" customHeight="1" x14ac:dyDescent="0.25">
      <c r="S599" s="1"/>
      <c r="V599" s="141"/>
      <c r="W599" s="141"/>
      <c r="AF599" s="1"/>
      <c r="AN599" s="1"/>
      <c r="AV599" s="1"/>
    </row>
    <row r="600" spans="19:48" s="21" customFormat="1" ht="22.5" customHeight="1" x14ac:dyDescent="0.25">
      <c r="S600" s="1"/>
      <c r="V600" s="141"/>
      <c r="W600" s="141"/>
      <c r="AF600" s="1"/>
      <c r="AN600" s="1"/>
      <c r="AV600" s="1"/>
    </row>
    <row r="601" spans="19:48" s="21" customFormat="1" ht="22.5" customHeight="1" x14ac:dyDescent="0.25">
      <c r="S601" s="1"/>
      <c r="V601" s="141"/>
      <c r="W601" s="141"/>
      <c r="AF601" s="1"/>
      <c r="AN601" s="1"/>
      <c r="AV601" s="1"/>
    </row>
    <row r="602" spans="19:48" s="21" customFormat="1" ht="22.5" customHeight="1" x14ac:dyDescent="0.25">
      <c r="S602" s="1"/>
      <c r="V602" s="141"/>
      <c r="W602" s="141"/>
      <c r="AF602" s="1"/>
      <c r="AN602" s="1"/>
      <c r="AV602" s="1"/>
    </row>
    <row r="603" spans="19:48" s="21" customFormat="1" ht="22.5" customHeight="1" x14ac:dyDescent="0.25">
      <c r="S603" s="1"/>
      <c r="V603" s="141"/>
      <c r="W603" s="141"/>
      <c r="AF603" s="1"/>
      <c r="AN603" s="1"/>
      <c r="AV603" s="1"/>
    </row>
    <row r="604" spans="19:48" s="21" customFormat="1" ht="22.5" customHeight="1" x14ac:dyDescent="0.25">
      <c r="S604" s="1"/>
      <c r="V604" s="141"/>
      <c r="W604" s="141"/>
      <c r="AF604" s="1"/>
      <c r="AN604" s="1"/>
      <c r="AV604" s="1"/>
    </row>
    <row r="605" spans="19:48" s="21" customFormat="1" ht="22.5" customHeight="1" x14ac:dyDescent="0.25">
      <c r="S605" s="1"/>
      <c r="V605" s="141"/>
      <c r="W605" s="141"/>
      <c r="AF605" s="1"/>
      <c r="AN605" s="1"/>
      <c r="AV605" s="1"/>
    </row>
    <row r="606" spans="19:48" s="21" customFormat="1" ht="22.5" customHeight="1" x14ac:dyDescent="0.25">
      <c r="S606" s="1"/>
      <c r="V606" s="141"/>
      <c r="W606" s="141"/>
      <c r="AF606" s="1"/>
      <c r="AN606" s="1"/>
      <c r="AV606" s="1"/>
    </row>
    <row r="607" spans="19:48" s="21" customFormat="1" ht="22.5" customHeight="1" x14ac:dyDescent="0.25">
      <c r="S607" s="1"/>
      <c r="V607" s="141"/>
      <c r="W607" s="141"/>
      <c r="AF607" s="1"/>
      <c r="AN607" s="1"/>
      <c r="AV607" s="1"/>
    </row>
    <row r="608" spans="19:48" s="21" customFormat="1" ht="22.5" customHeight="1" x14ac:dyDescent="0.25">
      <c r="S608" s="1"/>
      <c r="V608" s="141"/>
      <c r="W608" s="141"/>
      <c r="AF608" s="1"/>
      <c r="AN608" s="1"/>
      <c r="AV608" s="1"/>
    </row>
    <row r="609" spans="19:48" s="21" customFormat="1" ht="22.5" customHeight="1" x14ac:dyDescent="0.25">
      <c r="S609" s="1"/>
      <c r="V609" s="141"/>
      <c r="W609" s="141"/>
      <c r="AF609" s="1"/>
      <c r="AN609" s="1"/>
      <c r="AV609" s="1"/>
    </row>
    <row r="610" spans="19:48" s="21" customFormat="1" ht="22.5" customHeight="1" x14ac:dyDescent="0.25">
      <c r="S610" s="1"/>
      <c r="V610" s="141"/>
      <c r="W610" s="141"/>
      <c r="AF610" s="1"/>
      <c r="AN610" s="1"/>
      <c r="AV610" s="1"/>
    </row>
    <row r="611" spans="19:48" s="21" customFormat="1" ht="22.5" customHeight="1" x14ac:dyDescent="0.25">
      <c r="S611" s="1"/>
      <c r="V611" s="141"/>
      <c r="W611" s="141"/>
      <c r="AF611" s="1"/>
      <c r="AN611" s="1"/>
      <c r="AV611" s="1"/>
    </row>
    <row r="612" spans="19:48" s="21" customFormat="1" ht="22.5" customHeight="1" x14ac:dyDescent="0.25">
      <c r="S612" s="1"/>
      <c r="V612" s="141"/>
      <c r="W612" s="141"/>
      <c r="AF612" s="1"/>
      <c r="AN612" s="1"/>
      <c r="AV612" s="1"/>
    </row>
    <row r="613" spans="19:48" s="21" customFormat="1" ht="22.5" customHeight="1" x14ac:dyDescent="0.25">
      <c r="S613" s="1"/>
      <c r="V613" s="141"/>
      <c r="W613" s="141"/>
      <c r="AF613" s="1"/>
      <c r="AN613" s="1"/>
      <c r="AV613" s="1"/>
    </row>
    <row r="614" spans="19:48" s="21" customFormat="1" ht="22.5" customHeight="1" x14ac:dyDescent="0.25">
      <c r="S614" s="1"/>
      <c r="V614" s="141"/>
      <c r="W614" s="141"/>
      <c r="AF614" s="1"/>
      <c r="AN614" s="1"/>
      <c r="AV614" s="1"/>
    </row>
    <row r="615" spans="19:48" s="21" customFormat="1" ht="22.5" customHeight="1" x14ac:dyDescent="0.25">
      <c r="S615" s="1"/>
      <c r="V615" s="141"/>
      <c r="W615" s="141"/>
      <c r="AF615" s="1"/>
      <c r="AN615" s="1"/>
      <c r="AV615" s="1"/>
    </row>
    <row r="616" spans="19:48" s="21" customFormat="1" ht="22.5" customHeight="1" x14ac:dyDescent="0.25">
      <c r="S616" s="1"/>
      <c r="V616" s="141"/>
      <c r="W616" s="141"/>
      <c r="AF616" s="1"/>
      <c r="AN616" s="1"/>
      <c r="AV616" s="1"/>
    </row>
    <row r="617" spans="19:48" s="21" customFormat="1" ht="22.5" customHeight="1" x14ac:dyDescent="0.25">
      <c r="S617" s="1"/>
      <c r="V617" s="141"/>
      <c r="W617" s="141"/>
      <c r="AF617" s="1"/>
      <c r="AN617" s="1"/>
      <c r="AV617" s="1"/>
    </row>
    <row r="618" spans="19:48" s="21" customFormat="1" ht="22.5" customHeight="1" x14ac:dyDescent="0.25">
      <c r="S618" s="1"/>
      <c r="V618" s="141"/>
      <c r="W618" s="141"/>
      <c r="AF618" s="1"/>
      <c r="AN618" s="1"/>
      <c r="AV618" s="1"/>
    </row>
  </sheetData>
  <sheetProtection algorithmName="SHA-512" hashValue="RIorJoWSBSfe8nDpzO2Y6Ir4KvOVRRcC1kRexnjz85J5pDae9Iwz/q+MllGiFYQf45FMoKO+MNxJ8EqRCqvdbw==" saltValue="hvaoe6t22ciu8sAbGwewJg==" spinCount="100000" sheet="1" objects="1" scenarios="1" selectLockedCells="1" selectUnlockedCells="1"/>
  <mergeCells count="659">
    <mergeCell ref="Y79:Z79"/>
    <mergeCell ref="AC79:AD79"/>
    <mergeCell ref="AG79:AH79"/>
    <mergeCell ref="AK79:AL79"/>
    <mergeCell ref="AO79:AP79"/>
    <mergeCell ref="AS79:AT79"/>
    <mergeCell ref="Y76:Z76"/>
    <mergeCell ref="AC76:AD76"/>
    <mergeCell ref="AG76:AH76"/>
    <mergeCell ref="AK76:AL76"/>
    <mergeCell ref="AO76:AP76"/>
    <mergeCell ref="AS76:AT76"/>
    <mergeCell ref="Q74:U74"/>
    <mergeCell ref="AC74:AF74"/>
    <mergeCell ref="AK74:AN74"/>
    <mergeCell ref="AS74:AV74"/>
    <mergeCell ref="Q75:U75"/>
    <mergeCell ref="AC75:AF75"/>
    <mergeCell ref="AK75:AN75"/>
    <mergeCell ref="AS75:AV75"/>
    <mergeCell ref="Y73:Z73"/>
    <mergeCell ref="AC73:AD73"/>
    <mergeCell ref="AG73:AH73"/>
    <mergeCell ref="AK73:AL73"/>
    <mergeCell ref="AO73:AP73"/>
    <mergeCell ref="AS73:AT73"/>
    <mergeCell ref="Q71:U71"/>
    <mergeCell ref="AC71:AF71"/>
    <mergeCell ref="AK71:AN71"/>
    <mergeCell ref="AS71:AV71"/>
    <mergeCell ref="Q72:U72"/>
    <mergeCell ref="AC72:AF72"/>
    <mergeCell ref="AK72:AN72"/>
    <mergeCell ref="AS72:AV72"/>
    <mergeCell ref="Q69:U69"/>
    <mergeCell ref="AC69:AF69"/>
    <mergeCell ref="AK69:AN69"/>
    <mergeCell ref="AS69:AV69"/>
    <mergeCell ref="Q70:U70"/>
    <mergeCell ref="AC70:AF70"/>
    <mergeCell ref="AK70:AN70"/>
    <mergeCell ref="AS70:AV70"/>
    <mergeCell ref="Q67:U67"/>
    <mergeCell ref="AC67:AF67"/>
    <mergeCell ref="AK67:AN67"/>
    <mergeCell ref="AS67:AV67"/>
    <mergeCell ref="Q68:U68"/>
    <mergeCell ref="AC68:AF68"/>
    <mergeCell ref="AK68:AN68"/>
    <mergeCell ref="AS68:AV68"/>
    <mergeCell ref="Y66:Z66"/>
    <mergeCell ref="AC66:AD66"/>
    <mergeCell ref="AG66:AH66"/>
    <mergeCell ref="AK66:AL66"/>
    <mergeCell ref="AO66:AP66"/>
    <mergeCell ref="AS66:AT66"/>
    <mergeCell ref="Q64:U64"/>
    <mergeCell ref="AC64:AF64"/>
    <mergeCell ref="AK64:AN64"/>
    <mergeCell ref="AS64:AV64"/>
    <mergeCell ref="Q65:U65"/>
    <mergeCell ref="AC65:AF65"/>
    <mergeCell ref="AK65:AN65"/>
    <mergeCell ref="AS65:AV65"/>
    <mergeCell ref="Q62:U62"/>
    <mergeCell ref="AC62:AF62"/>
    <mergeCell ref="AK62:AN62"/>
    <mergeCell ref="AS62:AV62"/>
    <mergeCell ref="Q63:U63"/>
    <mergeCell ref="AC63:AF63"/>
    <mergeCell ref="AK63:AN63"/>
    <mergeCell ref="AS63:AV63"/>
    <mergeCell ref="W58:W60"/>
    <mergeCell ref="Q59:U59"/>
    <mergeCell ref="AC59:AF59"/>
    <mergeCell ref="AK59:AN59"/>
    <mergeCell ref="AS59:AV59"/>
    <mergeCell ref="Q60:U60"/>
    <mergeCell ref="AC60:AF60"/>
    <mergeCell ref="AK60:AN60"/>
    <mergeCell ref="AS60:AV60"/>
    <mergeCell ref="Y57:Z57"/>
    <mergeCell ref="AC57:AD57"/>
    <mergeCell ref="AG57:AH57"/>
    <mergeCell ref="AK57:AL57"/>
    <mergeCell ref="AO57:AP57"/>
    <mergeCell ref="AS57:AT57"/>
    <mergeCell ref="Y61:Z61"/>
    <mergeCell ref="AC61:AD61"/>
    <mergeCell ref="AG61:AH61"/>
    <mergeCell ref="AK61:AL61"/>
    <mergeCell ref="AO61:AP61"/>
    <mergeCell ref="AS61:AT61"/>
    <mergeCell ref="AS53:AT53"/>
    <mergeCell ref="Q54:U54"/>
    <mergeCell ref="W54:W56"/>
    <mergeCell ref="AC54:AF54"/>
    <mergeCell ref="AK54:AN54"/>
    <mergeCell ref="AS54:AV54"/>
    <mergeCell ref="Q55:U55"/>
    <mergeCell ref="AC55:AF55"/>
    <mergeCell ref="AK55:AN55"/>
    <mergeCell ref="AS55:AV55"/>
    <mergeCell ref="Q56:U56"/>
    <mergeCell ref="AC56:AF56"/>
    <mergeCell ref="AK56:AN56"/>
    <mergeCell ref="AS56:AV56"/>
    <mergeCell ref="AP50:AP52"/>
    <mergeCell ref="AQ50:AQ52"/>
    <mergeCell ref="AR50:AR52"/>
    <mergeCell ref="Y53:Z53"/>
    <mergeCell ref="AC53:AD53"/>
    <mergeCell ref="AG53:AH53"/>
    <mergeCell ref="AK53:AL53"/>
    <mergeCell ref="AO53:AP53"/>
    <mergeCell ref="AB50:AB52"/>
    <mergeCell ref="AG50:AG52"/>
    <mergeCell ref="AH50:AH52"/>
    <mergeCell ref="AI50:AI52"/>
    <mergeCell ref="AJ50:AJ52"/>
    <mergeCell ref="AO50:AO52"/>
    <mergeCell ref="AP48:AP49"/>
    <mergeCell ref="AQ48:AQ49"/>
    <mergeCell ref="AR48:AR49"/>
    <mergeCell ref="A50:A52"/>
    <mergeCell ref="B50:B52"/>
    <mergeCell ref="C50:C52"/>
    <mergeCell ref="D50:D52"/>
    <mergeCell ref="E50:E52"/>
    <mergeCell ref="F50:F52"/>
    <mergeCell ref="G50:G52"/>
    <mergeCell ref="AB48:AB49"/>
    <mergeCell ref="AG48:AG49"/>
    <mergeCell ref="AH48:AH49"/>
    <mergeCell ref="AI48:AI49"/>
    <mergeCell ref="AJ48:AJ49"/>
    <mergeCell ref="AO48:AO49"/>
    <mergeCell ref="N48:N49"/>
    <mergeCell ref="O48:O49"/>
    <mergeCell ref="P48:P49"/>
    <mergeCell ref="V48:V49"/>
    <mergeCell ref="Y48:Y49"/>
    <mergeCell ref="Z48:Z49"/>
    <mergeCell ref="H48:H49"/>
    <mergeCell ref="I48:I49"/>
    <mergeCell ref="A48:A49"/>
    <mergeCell ref="B48:B49"/>
    <mergeCell ref="C48:C49"/>
    <mergeCell ref="D48:D49"/>
    <mergeCell ref="E48:E49"/>
    <mergeCell ref="F48:F49"/>
    <mergeCell ref="G48:G49"/>
    <mergeCell ref="AB46:AB47"/>
    <mergeCell ref="AG46:AG47"/>
    <mergeCell ref="P46:P47"/>
    <mergeCell ref="V46:V47"/>
    <mergeCell ref="W46:W52"/>
    <mergeCell ref="Y46:Y47"/>
    <mergeCell ref="N50:N52"/>
    <mergeCell ref="O50:O52"/>
    <mergeCell ref="P50:P52"/>
    <mergeCell ref="V50:V52"/>
    <mergeCell ref="Y50:Y52"/>
    <mergeCell ref="Z50:Z52"/>
    <mergeCell ref="H50:H52"/>
    <mergeCell ref="I50:I52"/>
    <mergeCell ref="J50:J52"/>
    <mergeCell ref="K50:K52"/>
    <mergeCell ref="L50:L52"/>
    <mergeCell ref="AA48:AA49"/>
    <mergeCell ref="AA50:AA52"/>
    <mergeCell ref="J46:J47"/>
    <mergeCell ref="K46:K47"/>
    <mergeCell ref="L46:L47"/>
    <mergeCell ref="M46:M47"/>
    <mergeCell ref="N46:N47"/>
    <mergeCell ref="O46:O47"/>
    <mergeCell ref="J48:J49"/>
    <mergeCell ref="K48:K49"/>
    <mergeCell ref="L48:L49"/>
    <mergeCell ref="M48:M49"/>
    <mergeCell ref="M50:M52"/>
    <mergeCell ref="AS45:AT45"/>
    <mergeCell ref="A46:A47"/>
    <mergeCell ref="B46:B47"/>
    <mergeCell ref="C46:C47"/>
    <mergeCell ref="D46:D47"/>
    <mergeCell ref="E46:E47"/>
    <mergeCell ref="F46:F47"/>
    <mergeCell ref="G46:G47"/>
    <mergeCell ref="H46:H47"/>
    <mergeCell ref="I46:I47"/>
    <mergeCell ref="Z46:Z47"/>
    <mergeCell ref="AA46:AA47"/>
    <mergeCell ref="AP46:AP47"/>
    <mergeCell ref="AQ46:AQ47"/>
    <mergeCell ref="AR46:AR47"/>
    <mergeCell ref="AH46:AH47"/>
    <mergeCell ref="AI46:AI47"/>
    <mergeCell ref="AJ46:AJ47"/>
    <mergeCell ref="AO46:AO47"/>
    <mergeCell ref="AP42:AP44"/>
    <mergeCell ref="AQ42:AQ44"/>
    <mergeCell ref="AR42:AR44"/>
    <mergeCell ref="Y45:Z45"/>
    <mergeCell ref="AC45:AD45"/>
    <mergeCell ref="AG45:AH45"/>
    <mergeCell ref="AK45:AL45"/>
    <mergeCell ref="AO45:AP45"/>
    <mergeCell ref="AB42:AB44"/>
    <mergeCell ref="AG42:AG44"/>
    <mergeCell ref="AH42:AH44"/>
    <mergeCell ref="AI42:AI44"/>
    <mergeCell ref="AJ42:AJ44"/>
    <mergeCell ref="AO42:AO44"/>
    <mergeCell ref="AP40:AP41"/>
    <mergeCell ref="AQ40:AQ41"/>
    <mergeCell ref="AR40:AR41"/>
    <mergeCell ref="A42:A44"/>
    <mergeCell ref="B42:B44"/>
    <mergeCell ref="C42:C44"/>
    <mergeCell ref="D42:D44"/>
    <mergeCell ref="E42:E44"/>
    <mergeCell ref="F42:F44"/>
    <mergeCell ref="G42:G44"/>
    <mergeCell ref="AB40:AB41"/>
    <mergeCell ref="AG40:AG41"/>
    <mergeCell ref="AH40:AH41"/>
    <mergeCell ref="AI40:AI41"/>
    <mergeCell ref="AJ40:AJ41"/>
    <mergeCell ref="AO40:AO41"/>
    <mergeCell ref="N40:N41"/>
    <mergeCell ref="O40:O41"/>
    <mergeCell ref="P40:P41"/>
    <mergeCell ref="V40:V41"/>
    <mergeCell ref="Y40:Y41"/>
    <mergeCell ref="Z40:Z41"/>
    <mergeCell ref="H40:H41"/>
    <mergeCell ref="I40:I41"/>
    <mergeCell ref="A40:A41"/>
    <mergeCell ref="B40:B41"/>
    <mergeCell ref="C40:C41"/>
    <mergeCell ref="D40:D41"/>
    <mergeCell ref="E40:E41"/>
    <mergeCell ref="F40:F41"/>
    <mergeCell ref="G40:G41"/>
    <mergeCell ref="AB38:AB39"/>
    <mergeCell ref="AG38:AG39"/>
    <mergeCell ref="P38:P39"/>
    <mergeCell ref="V38:V39"/>
    <mergeCell ref="W38:W44"/>
    <mergeCell ref="Y38:Y39"/>
    <mergeCell ref="N42:N44"/>
    <mergeCell ref="O42:O44"/>
    <mergeCell ref="P42:P44"/>
    <mergeCell ref="V42:V44"/>
    <mergeCell ref="Y42:Y44"/>
    <mergeCell ref="Z42:Z44"/>
    <mergeCell ref="H42:H44"/>
    <mergeCell ref="I42:I44"/>
    <mergeCell ref="J42:J44"/>
    <mergeCell ref="K42:K44"/>
    <mergeCell ref="L42:L44"/>
    <mergeCell ref="AA40:AA41"/>
    <mergeCell ref="AA42:AA44"/>
    <mergeCell ref="J38:J39"/>
    <mergeCell ref="K38:K39"/>
    <mergeCell ref="L38:L39"/>
    <mergeCell ref="M38:M39"/>
    <mergeCell ref="N38:N39"/>
    <mergeCell ref="O38:O39"/>
    <mergeCell ref="J40:J41"/>
    <mergeCell ref="K40:K41"/>
    <mergeCell ref="L40:L41"/>
    <mergeCell ref="M40:M41"/>
    <mergeCell ref="M42:M44"/>
    <mergeCell ref="AS37:AT37"/>
    <mergeCell ref="A38:A39"/>
    <mergeCell ref="B38:B39"/>
    <mergeCell ref="C38:C39"/>
    <mergeCell ref="D38:D39"/>
    <mergeCell ref="E38:E39"/>
    <mergeCell ref="F38:F39"/>
    <mergeCell ref="G38:G39"/>
    <mergeCell ref="H38:H39"/>
    <mergeCell ref="I38:I39"/>
    <mergeCell ref="Z38:Z39"/>
    <mergeCell ref="AA38:AA39"/>
    <mergeCell ref="AP38:AP39"/>
    <mergeCell ref="AQ38:AQ39"/>
    <mergeCell ref="AR38:AR39"/>
    <mergeCell ref="AH38:AH39"/>
    <mergeCell ref="AI38:AI39"/>
    <mergeCell ref="AJ38:AJ39"/>
    <mergeCell ref="AO38:AO39"/>
    <mergeCell ref="AP34:AP36"/>
    <mergeCell ref="AQ34:AQ36"/>
    <mergeCell ref="AR34:AR36"/>
    <mergeCell ref="Y37:Z37"/>
    <mergeCell ref="AC37:AD37"/>
    <mergeCell ref="AG37:AH37"/>
    <mergeCell ref="AK37:AL37"/>
    <mergeCell ref="AO37:AP37"/>
    <mergeCell ref="AB34:AB36"/>
    <mergeCell ref="AG34:AG36"/>
    <mergeCell ref="AH34:AH36"/>
    <mergeCell ref="AI34:AI36"/>
    <mergeCell ref="AJ34:AJ36"/>
    <mergeCell ref="AO34:AO36"/>
    <mergeCell ref="AP32:AP33"/>
    <mergeCell ref="AQ32:AQ33"/>
    <mergeCell ref="AR32:AR33"/>
    <mergeCell ref="A34:A36"/>
    <mergeCell ref="B34:B36"/>
    <mergeCell ref="C34:C36"/>
    <mergeCell ref="D34:D36"/>
    <mergeCell ref="E34:E36"/>
    <mergeCell ref="F34:F36"/>
    <mergeCell ref="G34:G36"/>
    <mergeCell ref="AB32:AB33"/>
    <mergeCell ref="AG32:AG33"/>
    <mergeCell ref="AH32:AH33"/>
    <mergeCell ref="AI32:AI33"/>
    <mergeCell ref="AJ32:AJ33"/>
    <mergeCell ref="AO32:AO33"/>
    <mergeCell ref="N32:N33"/>
    <mergeCell ref="O32:O33"/>
    <mergeCell ref="P32:P33"/>
    <mergeCell ref="V32:V33"/>
    <mergeCell ref="Y32:Y33"/>
    <mergeCell ref="Z32:Z33"/>
    <mergeCell ref="H32:H33"/>
    <mergeCell ref="I32:I33"/>
    <mergeCell ref="A32:A33"/>
    <mergeCell ref="B32:B33"/>
    <mergeCell ref="C32:C33"/>
    <mergeCell ref="D32:D33"/>
    <mergeCell ref="E32:E33"/>
    <mergeCell ref="F32:F33"/>
    <mergeCell ref="G32:G33"/>
    <mergeCell ref="AB30:AB31"/>
    <mergeCell ref="AG30:AG31"/>
    <mergeCell ref="P30:P31"/>
    <mergeCell ref="V30:V31"/>
    <mergeCell ref="W30:W36"/>
    <mergeCell ref="Y30:Y31"/>
    <mergeCell ref="N34:N36"/>
    <mergeCell ref="O34:O36"/>
    <mergeCell ref="P34:P36"/>
    <mergeCell ref="V34:V36"/>
    <mergeCell ref="Y34:Y36"/>
    <mergeCell ref="Z34:Z36"/>
    <mergeCell ref="H34:H36"/>
    <mergeCell ref="I34:I36"/>
    <mergeCell ref="J34:J36"/>
    <mergeCell ref="K34:K36"/>
    <mergeCell ref="L34:L36"/>
    <mergeCell ref="AA32:AA33"/>
    <mergeCell ref="AA34:AA36"/>
    <mergeCell ref="J30:J31"/>
    <mergeCell ref="K30:K31"/>
    <mergeCell ref="L30:L31"/>
    <mergeCell ref="M30:M31"/>
    <mergeCell ref="N30:N31"/>
    <mergeCell ref="O30:O31"/>
    <mergeCell ref="J32:J33"/>
    <mergeCell ref="K32:K33"/>
    <mergeCell ref="L32:L33"/>
    <mergeCell ref="M32:M33"/>
    <mergeCell ref="M34:M36"/>
    <mergeCell ref="AS29:AT29"/>
    <mergeCell ref="A30:A31"/>
    <mergeCell ref="B30:B31"/>
    <mergeCell ref="C30:C31"/>
    <mergeCell ref="D30:D31"/>
    <mergeCell ref="E30:E31"/>
    <mergeCell ref="F30:F31"/>
    <mergeCell ref="G30:G31"/>
    <mergeCell ref="H30:H31"/>
    <mergeCell ref="I30:I31"/>
    <mergeCell ref="Z30:Z31"/>
    <mergeCell ref="AA30:AA31"/>
    <mergeCell ref="AP30:AP31"/>
    <mergeCell ref="AQ30:AQ31"/>
    <mergeCell ref="AR30:AR31"/>
    <mergeCell ref="AH30:AH31"/>
    <mergeCell ref="AI30:AI31"/>
    <mergeCell ref="AJ30:AJ31"/>
    <mergeCell ref="AO30:AO31"/>
    <mergeCell ref="AP26:AP28"/>
    <mergeCell ref="AQ26:AQ28"/>
    <mergeCell ref="AR26:AR28"/>
    <mergeCell ref="Y29:Z29"/>
    <mergeCell ref="AC29:AD29"/>
    <mergeCell ref="AG29:AH29"/>
    <mergeCell ref="AK29:AL29"/>
    <mergeCell ref="AO29:AP29"/>
    <mergeCell ref="AB26:AB28"/>
    <mergeCell ref="AG26:AG28"/>
    <mergeCell ref="AH26:AH28"/>
    <mergeCell ref="AI26:AI28"/>
    <mergeCell ref="AJ26:AJ28"/>
    <mergeCell ref="AO26:AO28"/>
    <mergeCell ref="AP24:AP25"/>
    <mergeCell ref="AQ24:AQ25"/>
    <mergeCell ref="AR24:AR25"/>
    <mergeCell ref="A26:A28"/>
    <mergeCell ref="B26:B28"/>
    <mergeCell ref="C26:C28"/>
    <mergeCell ref="D26:D28"/>
    <mergeCell ref="E26:E28"/>
    <mergeCell ref="F26:F28"/>
    <mergeCell ref="G26:G28"/>
    <mergeCell ref="AB24:AB25"/>
    <mergeCell ref="AG24:AG25"/>
    <mergeCell ref="AH24:AH25"/>
    <mergeCell ref="AI24:AI25"/>
    <mergeCell ref="AJ24:AJ25"/>
    <mergeCell ref="AO24:AO25"/>
    <mergeCell ref="N24:N25"/>
    <mergeCell ref="O24:O25"/>
    <mergeCell ref="P24:P25"/>
    <mergeCell ref="V24:V25"/>
    <mergeCell ref="Y24:Y25"/>
    <mergeCell ref="Z24:Z25"/>
    <mergeCell ref="H24:H25"/>
    <mergeCell ref="I24:I25"/>
    <mergeCell ref="A24:A25"/>
    <mergeCell ref="B24:B25"/>
    <mergeCell ref="C24:C25"/>
    <mergeCell ref="D24:D25"/>
    <mergeCell ref="E24:E25"/>
    <mergeCell ref="F24:F25"/>
    <mergeCell ref="G24:G25"/>
    <mergeCell ref="AB22:AB23"/>
    <mergeCell ref="AG22:AG23"/>
    <mergeCell ref="P22:P23"/>
    <mergeCell ref="V22:V23"/>
    <mergeCell ref="W22:W28"/>
    <mergeCell ref="Y22:Y23"/>
    <mergeCell ref="N26:N28"/>
    <mergeCell ref="O26:O28"/>
    <mergeCell ref="P26:P28"/>
    <mergeCell ref="V26:V28"/>
    <mergeCell ref="Y26:Y28"/>
    <mergeCell ref="Z26:Z28"/>
    <mergeCell ref="H26:H28"/>
    <mergeCell ref="I26:I28"/>
    <mergeCell ref="J26:J28"/>
    <mergeCell ref="K26:K28"/>
    <mergeCell ref="L26:L28"/>
    <mergeCell ref="AA24:AA25"/>
    <mergeCell ref="AA26:AA28"/>
    <mergeCell ref="J22:J23"/>
    <mergeCell ref="K22:K23"/>
    <mergeCell ref="L22:L23"/>
    <mergeCell ref="M22:M23"/>
    <mergeCell ref="N22:N23"/>
    <mergeCell ref="O22:O23"/>
    <mergeCell ref="J24:J25"/>
    <mergeCell ref="K24:K25"/>
    <mergeCell ref="L24:L25"/>
    <mergeCell ref="M24:M25"/>
    <mergeCell ref="M26:M28"/>
    <mergeCell ref="AS21:AT21"/>
    <mergeCell ref="A22:A23"/>
    <mergeCell ref="B22:B23"/>
    <mergeCell ref="C22:C23"/>
    <mergeCell ref="D22:D23"/>
    <mergeCell ref="E22:E23"/>
    <mergeCell ref="F22:F23"/>
    <mergeCell ref="G22:G23"/>
    <mergeCell ref="H22:H23"/>
    <mergeCell ref="I22:I23"/>
    <mergeCell ref="Z22:Z23"/>
    <mergeCell ref="AA22:AA23"/>
    <mergeCell ref="AP22:AP23"/>
    <mergeCell ref="AQ22:AQ23"/>
    <mergeCell ref="AR22:AR23"/>
    <mergeCell ref="AH22:AH23"/>
    <mergeCell ref="AI22:AI23"/>
    <mergeCell ref="AJ22:AJ23"/>
    <mergeCell ref="AO22:AO23"/>
    <mergeCell ref="M18:M20"/>
    <mergeCell ref="AP18:AP20"/>
    <mergeCell ref="AQ18:AQ20"/>
    <mergeCell ref="AR18:AR20"/>
    <mergeCell ref="Y21:Z21"/>
    <mergeCell ref="AC21:AD21"/>
    <mergeCell ref="AG21:AH21"/>
    <mergeCell ref="AK21:AL21"/>
    <mergeCell ref="AO21:AP21"/>
    <mergeCell ref="AB18:AB20"/>
    <mergeCell ref="AG18:AG20"/>
    <mergeCell ref="AH18:AH20"/>
    <mergeCell ref="AI18:AI20"/>
    <mergeCell ref="AJ18:AJ20"/>
    <mergeCell ref="AO18:AO20"/>
    <mergeCell ref="AP16:AP17"/>
    <mergeCell ref="AQ16:AQ17"/>
    <mergeCell ref="AR16:AR17"/>
    <mergeCell ref="A18:A20"/>
    <mergeCell ref="B18:B20"/>
    <mergeCell ref="C18:C20"/>
    <mergeCell ref="D18:D20"/>
    <mergeCell ref="E18:E20"/>
    <mergeCell ref="F18:F20"/>
    <mergeCell ref="G18:G20"/>
    <mergeCell ref="AB16:AB17"/>
    <mergeCell ref="AG16:AG17"/>
    <mergeCell ref="AH16:AH17"/>
    <mergeCell ref="AI16:AI17"/>
    <mergeCell ref="AJ16:AJ17"/>
    <mergeCell ref="AO16:AO17"/>
    <mergeCell ref="N16:N17"/>
    <mergeCell ref="O16:O17"/>
    <mergeCell ref="P16:P17"/>
    <mergeCell ref="V16:V17"/>
    <mergeCell ref="Y16:Y17"/>
    <mergeCell ref="Z16:Z17"/>
    <mergeCell ref="H16:H17"/>
    <mergeCell ref="I16:I17"/>
    <mergeCell ref="A16:A17"/>
    <mergeCell ref="B16:B17"/>
    <mergeCell ref="C16:C17"/>
    <mergeCell ref="D16:D17"/>
    <mergeCell ref="E16:E17"/>
    <mergeCell ref="F16:F17"/>
    <mergeCell ref="G16:G17"/>
    <mergeCell ref="AB14:AB15"/>
    <mergeCell ref="AG14:AG15"/>
    <mergeCell ref="P14:P15"/>
    <mergeCell ref="V14:V15"/>
    <mergeCell ref="W14:W20"/>
    <mergeCell ref="Y14:Y15"/>
    <mergeCell ref="N18:N20"/>
    <mergeCell ref="O18:O20"/>
    <mergeCell ref="P18:P20"/>
    <mergeCell ref="Y18:Y20"/>
    <mergeCell ref="Z18:Z20"/>
    <mergeCell ref="AA18:AA20"/>
    <mergeCell ref="H18:H20"/>
    <mergeCell ref="I18:I20"/>
    <mergeCell ref="J18:J20"/>
    <mergeCell ref="K18:K20"/>
    <mergeCell ref="L18:L20"/>
    <mergeCell ref="AA16:AA17"/>
    <mergeCell ref="J14:J15"/>
    <mergeCell ref="K14:K15"/>
    <mergeCell ref="L14:L15"/>
    <mergeCell ref="M14:M15"/>
    <mergeCell ref="N14:N15"/>
    <mergeCell ref="O14:O15"/>
    <mergeCell ref="J16:J17"/>
    <mergeCell ref="K16:K17"/>
    <mergeCell ref="L16:L17"/>
    <mergeCell ref="M16:M17"/>
    <mergeCell ref="AS13:AT13"/>
    <mergeCell ref="A14:A15"/>
    <mergeCell ref="B14:B15"/>
    <mergeCell ref="C14:C15"/>
    <mergeCell ref="D14:D15"/>
    <mergeCell ref="E14:E15"/>
    <mergeCell ref="F14:F15"/>
    <mergeCell ref="G14:G15"/>
    <mergeCell ref="H14:H15"/>
    <mergeCell ref="I14:I15"/>
    <mergeCell ref="Z14:Z15"/>
    <mergeCell ref="AA14:AA15"/>
    <mergeCell ref="AP14:AP15"/>
    <mergeCell ref="AQ14:AQ15"/>
    <mergeCell ref="AR14:AR15"/>
    <mergeCell ref="AH14:AH15"/>
    <mergeCell ref="AI14:AI15"/>
    <mergeCell ref="AJ14:AJ15"/>
    <mergeCell ref="AO14:AO15"/>
    <mergeCell ref="Y13:Z13"/>
    <mergeCell ref="AC13:AD13"/>
    <mergeCell ref="AG13:AH13"/>
    <mergeCell ref="AK13:AL13"/>
    <mergeCell ref="AO13:AP13"/>
    <mergeCell ref="Z10:Z12"/>
    <mergeCell ref="AA10:AA12"/>
    <mergeCell ref="AB10:AB12"/>
    <mergeCell ref="AG10:AG12"/>
    <mergeCell ref="AH10:AH12"/>
    <mergeCell ref="AI10:AI12"/>
    <mergeCell ref="AS9:AV9"/>
    <mergeCell ref="C10:C12"/>
    <mergeCell ref="D10:D12"/>
    <mergeCell ref="E10:E12"/>
    <mergeCell ref="F10:F12"/>
    <mergeCell ref="G10:G12"/>
    <mergeCell ref="H10:H12"/>
    <mergeCell ref="I10:I12"/>
    <mergeCell ref="J10:J12"/>
    <mergeCell ref="K10:K12"/>
    <mergeCell ref="AJ10:AJ12"/>
    <mergeCell ref="AO10:AO12"/>
    <mergeCell ref="AP10:AP12"/>
    <mergeCell ref="AQ10:AQ12"/>
    <mergeCell ref="AR10:AR12"/>
    <mergeCell ref="AJ7:AJ8"/>
    <mergeCell ref="AO7:AO8"/>
    <mergeCell ref="AP7:AP8"/>
    <mergeCell ref="AQ7:AQ8"/>
    <mergeCell ref="AR7:AR8"/>
    <mergeCell ref="AC9:AF9"/>
    <mergeCell ref="AK9:AN9"/>
    <mergeCell ref="Z7:Z8"/>
    <mergeCell ref="AA7:AA8"/>
    <mergeCell ref="AB7:AB8"/>
    <mergeCell ref="AG7:AG8"/>
    <mergeCell ref="AH7:AH8"/>
    <mergeCell ref="AI7:AI8"/>
    <mergeCell ref="P7:P8"/>
    <mergeCell ref="W7:W12"/>
    <mergeCell ref="Y7:Y8"/>
    <mergeCell ref="G7:G8"/>
    <mergeCell ref="H7:H8"/>
    <mergeCell ref="I7:I8"/>
    <mergeCell ref="J7:J8"/>
    <mergeCell ref="K7:K8"/>
    <mergeCell ref="L7:L8"/>
    <mergeCell ref="L10:L12"/>
    <mergeCell ref="M10:M12"/>
    <mergeCell ref="N10:N12"/>
    <mergeCell ref="O10:O12"/>
    <mergeCell ref="P10:P12"/>
    <mergeCell ref="Y10:Y12"/>
    <mergeCell ref="A7:A12"/>
    <mergeCell ref="B7:B12"/>
    <mergeCell ref="C7:C8"/>
    <mergeCell ref="D7:D8"/>
    <mergeCell ref="E7:E8"/>
    <mergeCell ref="F7:F8"/>
    <mergeCell ref="M7:M8"/>
    <mergeCell ref="N7:N8"/>
    <mergeCell ref="O7:O8"/>
    <mergeCell ref="C1:X3"/>
    <mergeCell ref="A4:K4"/>
    <mergeCell ref="L4:P5"/>
    <mergeCell ref="Q4:U5"/>
    <mergeCell ref="V4:W5"/>
    <mergeCell ref="X4:X5"/>
    <mergeCell ref="Y4:AF4"/>
    <mergeCell ref="AG4:AN4"/>
    <mergeCell ref="AO4:AV4"/>
    <mergeCell ref="A5:C5"/>
    <mergeCell ref="E5:F5"/>
    <mergeCell ref="G5:I5"/>
    <mergeCell ref="J5:J6"/>
    <mergeCell ref="K5:K6"/>
    <mergeCell ref="Y5:AB5"/>
    <mergeCell ref="AC5:AF5"/>
    <mergeCell ref="AG5:AJ5"/>
    <mergeCell ref="AK5:AN5"/>
    <mergeCell ref="AO5:AR5"/>
    <mergeCell ref="AS5:AV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4AAD4-E3BA-47BE-B57D-EA186E6CF567}">
  <sheetPr>
    <tabColor theme="9" tint="-0.249977111117893"/>
  </sheetPr>
  <dimension ref="A1:BZ27"/>
  <sheetViews>
    <sheetView topLeftCell="AO25" workbookViewId="0">
      <selection activeCell="A3" sqref="A3"/>
    </sheetView>
  </sheetViews>
  <sheetFormatPr baseColWidth="10" defaultColWidth="11.42578125" defaultRowHeight="22.5" customHeight="1" x14ac:dyDescent="0.25"/>
  <cols>
    <col min="1" max="1" width="22.42578125" style="94" customWidth="1"/>
    <col min="2" max="2" width="27.140625" style="94" customWidth="1"/>
    <col min="3" max="3" width="30.7109375" style="94" customWidth="1"/>
    <col min="4" max="4" width="27.140625" style="94" customWidth="1"/>
    <col min="5" max="5" width="43.42578125" style="94" customWidth="1"/>
    <col min="6" max="6" width="29.28515625" style="94" customWidth="1"/>
    <col min="7" max="7" width="21.140625" style="94" customWidth="1"/>
    <col min="8" max="8" width="18.7109375" style="94" customWidth="1"/>
    <col min="9" max="9" width="17.28515625" style="142" customWidth="1"/>
    <col min="10" max="10" width="16.85546875" style="94" customWidth="1"/>
    <col min="11" max="11" width="31.28515625" style="94" customWidth="1"/>
    <col min="12" max="12" width="58.42578125" style="94" customWidth="1"/>
    <col min="13" max="13" width="53.42578125" style="94" customWidth="1"/>
    <col min="14" max="14" width="15.85546875" style="94" customWidth="1"/>
    <col min="15" max="15" width="9.28515625" style="94" customWidth="1"/>
    <col min="16" max="16" width="16.28515625" style="94" customWidth="1"/>
    <col min="17" max="17" width="49.140625" style="94" customWidth="1"/>
    <col min="18" max="18" width="50.28515625" style="202" customWidth="1"/>
    <col min="19" max="19" width="17.140625" style="94" customWidth="1"/>
    <col min="20" max="20" width="10.28515625" style="94" customWidth="1"/>
    <col min="21" max="21" width="14.42578125" style="94" bestFit="1" customWidth="1"/>
    <col min="22" max="22" width="19.85546875" style="94" customWidth="1"/>
    <col min="23" max="23" width="21" style="94" customWidth="1"/>
    <col min="24" max="24" width="20.28515625" style="94" customWidth="1"/>
    <col min="25" max="26" width="11.42578125" style="94" customWidth="1"/>
    <col min="27" max="27" width="16.7109375" style="94" customWidth="1"/>
    <col min="28" max="28" width="50.140625" style="94" customWidth="1"/>
    <col min="29" max="30" width="11.42578125" style="94" customWidth="1"/>
    <col min="31" max="31" width="20" style="94" customWidth="1"/>
    <col min="32" max="32" width="44.85546875" style="94" customWidth="1"/>
    <col min="33" max="35" width="11.42578125" style="94" customWidth="1"/>
    <col min="36" max="36" width="87.140625" style="94" customWidth="1"/>
    <col min="37" max="39" width="11.42578125" style="94" customWidth="1"/>
    <col min="40" max="40" width="78.140625" style="94" customWidth="1"/>
    <col min="41" max="43" width="11.42578125" style="94"/>
    <col min="44" max="44" width="87.140625" style="94" customWidth="1"/>
    <col min="45" max="47" width="11.42578125" style="94"/>
    <col min="48" max="48" width="78.140625" style="94" customWidth="1"/>
    <col min="49" max="16384" width="11.42578125" style="94"/>
  </cols>
  <sheetData>
    <row r="1" spans="1:78" s="1" customFormat="1" ht="15.75" x14ac:dyDescent="0.25">
      <c r="C1" s="413" t="s">
        <v>0</v>
      </c>
      <c r="D1" s="413"/>
      <c r="E1" s="413"/>
      <c r="F1" s="413"/>
      <c r="G1" s="413"/>
      <c r="H1" s="413"/>
      <c r="I1" s="413"/>
      <c r="J1" s="413"/>
      <c r="K1" s="413"/>
      <c r="L1" s="413"/>
      <c r="M1" s="413"/>
      <c r="N1" s="413"/>
      <c r="O1" s="413"/>
      <c r="P1" s="413"/>
      <c r="Q1" s="413"/>
      <c r="R1" s="413"/>
      <c r="S1" s="413"/>
      <c r="T1" s="413"/>
      <c r="U1" s="413"/>
      <c r="V1" s="413"/>
      <c r="W1" s="413"/>
      <c r="X1" s="413"/>
      <c r="AE1" s="2"/>
      <c r="AF1" s="3"/>
      <c r="AM1" s="2"/>
      <c r="AN1" s="3"/>
      <c r="AU1" s="4" t="s">
        <v>1</v>
      </c>
      <c r="AV1" s="5">
        <v>43458</v>
      </c>
    </row>
    <row r="2" spans="1:78" s="1" customFormat="1" ht="30" customHeight="1" x14ac:dyDescent="0.25">
      <c r="C2" s="413"/>
      <c r="D2" s="413"/>
      <c r="E2" s="413"/>
      <c r="F2" s="413"/>
      <c r="G2" s="413"/>
      <c r="H2" s="413"/>
      <c r="I2" s="413"/>
      <c r="J2" s="413"/>
      <c r="K2" s="413"/>
      <c r="L2" s="413"/>
      <c r="M2" s="413"/>
      <c r="N2" s="413"/>
      <c r="O2" s="413"/>
      <c r="P2" s="413"/>
      <c r="Q2" s="413"/>
      <c r="R2" s="413"/>
      <c r="S2" s="413"/>
      <c r="T2" s="413"/>
      <c r="U2" s="413"/>
      <c r="V2" s="413"/>
      <c r="W2" s="413"/>
      <c r="X2" s="413"/>
      <c r="AE2" s="2"/>
      <c r="AF2" s="2"/>
      <c r="AM2" s="2"/>
      <c r="AN2" s="2"/>
      <c r="AU2" s="4" t="s">
        <v>2</v>
      </c>
      <c r="AV2" s="4">
        <v>5</v>
      </c>
    </row>
    <row r="3" spans="1:78" s="1" customFormat="1" ht="29.25" customHeight="1" x14ac:dyDescent="0.25">
      <c r="C3" s="413"/>
      <c r="D3" s="413"/>
      <c r="E3" s="413"/>
      <c r="F3" s="413"/>
      <c r="G3" s="413"/>
      <c r="H3" s="413"/>
      <c r="I3" s="413"/>
      <c r="J3" s="413"/>
      <c r="K3" s="413"/>
      <c r="L3" s="413"/>
      <c r="M3" s="413"/>
      <c r="N3" s="413"/>
      <c r="O3" s="413"/>
      <c r="P3" s="413"/>
      <c r="Q3" s="413"/>
      <c r="R3" s="413"/>
      <c r="S3" s="413"/>
      <c r="T3" s="413"/>
      <c r="U3" s="413"/>
      <c r="V3" s="413"/>
      <c r="W3" s="413"/>
      <c r="X3" s="413"/>
      <c r="AE3" s="2"/>
      <c r="AF3" s="2"/>
      <c r="AM3" s="2"/>
      <c r="AN3" s="2"/>
      <c r="AU3" s="4" t="s">
        <v>3</v>
      </c>
      <c r="AV3" s="4" t="s">
        <v>4</v>
      </c>
    </row>
    <row r="4" spans="1:78" s="7" customFormat="1" ht="15" x14ac:dyDescent="0.25">
      <c r="A4" s="453" t="s">
        <v>5</v>
      </c>
      <c r="B4" s="454"/>
      <c r="C4" s="454"/>
      <c r="D4" s="454"/>
      <c r="E4" s="454"/>
      <c r="F4" s="454"/>
      <c r="G4" s="454"/>
      <c r="H4" s="454"/>
      <c r="I4" s="454"/>
      <c r="J4" s="454"/>
      <c r="K4" s="455"/>
      <c r="L4" s="456" t="s">
        <v>6</v>
      </c>
      <c r="M4" s="457"/>
      <c r="N4" s="457"/>
      <c r="O4" s="457"/>
      <c r="P4" s="458"/>
      <c r="Q4" s="456" t="s">
        <v>7</v>
      </c>
      <c r="R4" s="457"/>
      <c r="S4" s="457"/>
      <c r="T4" s="457"/>
      <c r="U4" s="458"/>
      <c r="V4" s="462" t="s">
        <v>8</v>
      </c>
      <c r="W4" s="463"/>
      <c r="X4" s="466" t="s">
        <v>9</v>
      </c>
      <c r="Y4" s="459" t="s">
        <v>10</v>
      </c>
      <c r="Z4" s="460"/>
      <c r="AA4" s="460"/>
      <c r="AB4" s="460"/>
      <c r="AC4" s="460"/>
      <c r="AD4" s="460"/>
      <c r="AE4" s="460"/>
      <c r="AF4" s="461"/>
      <c r="AG4" s="459" t="s">
        <v>11</v>
      </c>
      <c r="AH4" s="460"/>
      <c r="AI4" s="460"/>
      <c r="AJ4" s="460"/>
      <c r="AK4" s="460"/>
      <c r="AL4" s="460"/>
      <c r="AM4" s="460"/>
      <c r="AN4" s="461"/>
      <c r="AO4" s="459" t="s">
        <v>12</v>
      </c>
      <c r="AP4" s="460"/>
      <c r="AQ4" s="460"/>
      <c r="AR4" s="460"/>
      <c r="AS4" s="460"/>
      <c r="AT4" s="460"/>
      <c r="AU4" s="460"/>
      <c r="AV4" s="461"/>
      <c r="AW4" s="148"/>
      <c r="AX4" s="148"/>
      <c r="AY4" s="148"/>
      <c r="AZ4" s="148"/>
      <c r="BA4" s="148"/>
      <c r="BB4" s="148"/>
      <c r="BC4" s="148"/>
      <c r="BD4" s="148"/>
      <c r="BE4" s="148"/>
      <c r="BF4" s="148"/>
      <c r="BG4" s="148"/>
      <c r="BH4" s="148"/>
      <c r="BI4" s="148"/>
      <c r="BJ4" s="148"/>
      <c r="BK4" s="148"/>
      <c r="BL4" s="148"/>
      <c r="BM4" s="148"/>
      <c r="BN4" s="148"/>
      <c r="BO4" s="148"/>
      <c r="BP4" s="148"/>
    </row>
    <row r="5" spans="1:78" s="9" customFormat="1" ht="15" x14ac:dyDescent="0.25">
      <c r="A5" s="468" t="s">
        <v>13</v>
      </c>
      <c r="B5" s="469"/>
      <c r="C5" s="470"/>
      <c r="D5" s="8" t="s">
        <v>14</v>
      </c>
      <c r="E5" s="468" t="s">
        <v>15</v>
      </c>
      <c r="F5" s="470"/>
      <c r="G5" s="468" t="s">
        <v>16</v>
      </c>
      <c r="H5" s="469"/>
      <c r="I5" s="470"/>
      <c r="J5" s="471" t="s">
        <v>17</v>
      </c>
      <c r="K5" s="471" t="s">
        <v>18</v>
      </c>
      <c r="L5" s="459"/>
      <c r="M5" s="460"/>
      <c r="N5" s="460"/>
      <c r="O5" s="460"/>
      <c r="P5" s="461"/>
      <c r="Q5" s="459"/>
      <c r="R5" s="460"/>
      <c r="S5" s="460"/>
      <c r="T5" s="460"/>
      <c r="U5" s="461"/>
      <c r="V5" s="464"/>
      <c r="W5" s="465"/>
      <c r="X5" s="467"/>
      <c r="Y5" s="468" t="s">
        <v>19</v>
      </c>
      <c r="Z5" s="469"/>
      <c r="AA5" s="469"/>
      <c r="AB5" s="473"/>
      <c r="AC5" s="474" t="s">
        <v>20</v>
      </c>
      <c r="AD5" s="469"/>
      <c r="AE5" s="469"/>
      <c r="AF5" s="470"/>
      <c r="AG5" s="468" t="s">
        <v>19</v>
      </c>
      <c r="AH5" s="469"/>
      <c r="AI5" s="469"/>
      <c r="AJ5" s="473"/>
      <c r="AK5" s="474" t="s">
        <v>20</v>
      </c>
      <c r="AL5" s="469"/>
      <c r="AM5" s="469"/>
      <c r="AN5" s="470"/>
      <c r="AO5" s="468" t="s">
        <v>19</v>
      </c>
      <c r="AP5" s="469"/>
      <c r="AQ5" s="469"/>
      <c r="AR5" s="473"/>
      <c r="AS5" s="474" t="s">
        <v>20</v>
      </c>
      <c r="AT5" s="469"/>
      <c r="AU5" s="469"/>
      <c r="AV5" s="470"/>
      <c r="AW5" s="148"/>
      <c r="AX5" s="148"/>
      <c r="AY5" s="148"/>
      <c r="AZ5" s="148"/>
      <c r="BA5" s="148"/>
      <c r="BB5" s="148"/>
      <c r="BC5" s="148"/>
      <c r="BD5" s="148"/>
      <c r="BE5" s="148"/>
      <c r="BF5" s="148"/>
      <c r="BG5" s="148"/>
      <c r="BH5" s="148"/>
      <c r="BI5" s="148"/>
      <c r="BJ5" s="148"/>
      <c r="BK5" s="148"/>
      <c r="BL5" s="148"/>
      <c r="BM5" s="148"/>
      <c r="BN5" s="148"/>
      <c r="BO5" s="148"/>
      <c r="BP5" s="148"/>
    </row>
    <row r="6" spans="1:78" s="7" customFormat="1" ht="15" x14ac:dyDescent="0.25">
      <c r="A6" s="10" t="s">
        <v>21</v>
      </c>
      <c r="B6" s="10" t="s">
        <v>22</v>
      </c>
      <c r="C6" s="10" t="s">
        <v>23</v>
      </c>
      <c r="D6" s="10" t="s">
        <v>24</v>
      </c>
      <c r="E6" s="10" t="s">
        <v>25</v>
      </c>
      <c r="F6" s="10" t="s">
        <v>26</v>
      </c>
      <c r="G6" s="10" t="s">
        <v>27</v>
      </c>
      <c r="H6" s="10" t="s">
        <v>28</v>
      </c>
      <c r="I6" s="10" t="s">
        <v>29</v>
      </c>
      <c r="J6" s="472"/>
      <c r="K6" s="472"/>
      <c r="L6" s="10" t="s">
        <v>6</v>
      </c>
      <c r="M6" s="10" t="s">
        <v>30</v>
      </c>
      <c r="N6" s="10" t="s">
        <v>31</v>
      </c>
      <c r="O6" s="10" t="s">
        <v>32</v>
      </c>
      <c r="P6" s="10" t="s">
        <v>33</v>
      </c>
      <c r="Q6" s="10" t="s">
        <v>7</v>
      </c>
      <c r="R6" s="10" t="s">
        <v>34</v>
      </c>
      <c r="S6" s="10" t="s">
        <v>31</v>
      </c>
      <c r="T6" s="10" t="s">
        <v>32</v>
      </c>
      <c r="U6" s="10" t="s">
        <v>35</v>
      </c>
      <c r="V6" s="149" t="s">
        <v>36</v>
      </c>
      <c r="W6" s="149" t="s">
        <v>37</v>
      </c>
      <c r="X6" s="10" t="s">
        <v>38</v>
      </c>
      <c r="Y6" s="10" t="s">
        <v>39</v>
      </c>
      <c r="Z6" s="10" t="s">
        <v>40</v>
      </c>
      <c r="AA6" s="10" t="s">
        <v>41</v>
      </c>
      <c r="AB6" s="10" t="s">
        <v>42</v>
      </c>
      <c r="AC6" s="10" t="s">
        <v>39</v>
      </c>
      <c r="AD6" s="10" t="s">
        <v>40</v>
      </c>
      <c r="AE6" s="10" t="s">
        <v>41</v>
      </c>
      <c r="AF6" s="10" t="s">
        <v>42</v>
      </c>
      <c r="AG6" s="10" t="s">
        <v>39</v>
      </c>
      <c r="AH6" s="10" t="s">
        <v>40</v>
      </c>
      <c r="AI6" s="10" t="s">
        <v>41</v>
      </c>
      <c r="AJ6" s="10" t="s">
        <v>42</v>
      </c>
      <c r="AK6" s="10" t="s">
        <v>39</v>
      </c>
      <c r="AL6" s="10" t="s">
        <v>40</v>
      </c>
      <c r="AM6" s="10" t="s">
        <v>41</v>
      </c>
      <c r="AN6" s="10"/>
      <c r="AO6" s="10" t="s">
        <v>39</v>
      </c>
      <c r="AP6" s="10" t="s">
        <v>40</v>
      </c>
      <c r="AQ6" s="10" t="s">
        <v>41</v>
      </c>
      <c r="AR6" s="10" t="s">
        <v>42</v>
      </c>
      <c r="AS6" s="10" t="s">
        <v>39</v>
      </c>
      <c r="AT6" s="10" t="s">
        <v>40</v>
      </c>
      <c r="AU6" s="10" t="s">
        <v>41</v>
      </c>
      <c r="AV6" s="10" t="s">
        <v>42</v>
      </c>
      <c r="AW6" s="148"/>
      <c r="AX6" s="148"/>
      <c r="AY6" s="148"/>
      <c r="AZ6" s="148"/>
      <c r="BA6" s="148"/>
      <c r="BB6" s="148"/>
      <c r="BC6" s="148"/>
      <c r="BD6" s="148"/>
      <c r="BE6" s="148"/>
      <c r="BF6" s="148"/>
      <c r="BG6" s="148"/>
      <c r="BH6" s="148"/>
      <c r="BI6" s="148"/>
      <c r="BJ6" s="148"/>
      <c r="BK6" s="148"/>
      <c r="BL6" s="148"/>
      <c r="BM6" s="148"/>
      <c r="BN6" s="148"/>
      <c r="BO6" s="148"/>
      <c r="BP6" s="148"/>
    </row>
    <row r="7" spans="1:78" s="22" customFormat="1" ht="120" x14ac:dyDescent="0.25">
      <c r="A7" s="490" t="s">
        <v>43</v>
      </c>
      <c r="B7" s="490" t="s">
        <v>44</v>
      </c>
      <c r="C7" s="490" t="s">
        <v>45</v>
      </c>
      <c r="D7" s="490" t="s">
        <v>46</v>
      </c>
      <c r="E7" s="484" t="s">
        <v>435</v>
      </c>
      <c r="F7" s="490" t="s">
        <v>48</v>
      </c>
      <c r="G7" s="612" t="s">
        <v>49</v>
      </c>
      <c r="H7" s="614" t="s">
        <v>436</v>
      </c>
      <c r="I7" s="490" t="s">
        <v>51</v>
      </c>
      <c r="J7" s="505" t="s">
        <v>437</v>
      </c>
      <c r="K7" s="490" t="s">
        <v>438</v>
      </c>
      <c r="L7" s="490" t="s">
        <v>439</v>
      </c>
      <c r="M7" s="490" t="s">
        <v>440</v>
      </c>
      <c r="N7" s="484" t="s">
        <v>56</v>
      </c>
      <c r="O7" s="484">
        <v>0</v>
      </c>
      <c r="P7" s="484">
        <v>21422</v>
      </c>
      <c r="Q7" s="79" t="s">
        <v>441</v>
      </c>
      <c r="R7" s="107" t="s">
        <v>442</v>
      </c>
      <c r="S7" s="165" t="s">
        <v>56</v>
      </c>
      <c r="T7" s="165">
        <v>0</v>
      </c>
      <c r="U7" s="165">
        <v>2700</v>
      </c>
      <c r="V7" s="475">
        <v>5547112474</v>
      </c>
      <c r="W7" s="625">
        <v>12419404538</v>
      </c>
      <c r="X7" s="503" t="s">
        <v>443</v>
      </c>
      <c r="Y7" s="619">
        <v>1752</v>
      </c>
      <c r="Z7" s="619">
        <v>21422</v>
      </c>
      <c r="AA7" s="620">
        <f>Y7/Z7</f>
        <v>8.1785080758099149E-2</v>
      </c>
      <c r="AB7" s="621" t="s">
        <v>444</v>
      </c>
      <c r="AC7" s="166">
        <v>140</v>
      </c>
      <c r="AD7" s="167">
        <v>2700</v>
      </c>
      <c r="AE7" s="168">
        <f>AC7/AD7</f>
        <v>5.185185185185185E-2</v>
      </c>
      <c r="AF7" s="169" t="s">
        <v>445</v>
      </c>
      <c r="AG7" s="619">
        <v>3515</v>
      </c>
      <c r="AH7" s="619">
        <v>21422</v>
      </c>
      <c r="AI7" s="620">
        <f>AG7/AH7</f>
        <v>0.16408365232004482</v>
      </c>
      <c r="AJ7" s="621" t="s">
        <v>446</v>
      </c>
      <c r="AK7" s="167">
        <v>394</v>
      </c>
      <c r="AL7" s="167">
        <v>2700</v>
      </c>
      <c r="AM7" s="168">
        <f>AK7/AL7</f>
        <v>0.14592592592592593</v>
      </c>
      <c r="AN7" s="169" t="s">
        <v>447</v>
      </c>
      <c r="AO7" s="619">
        <v>5007</v>
      </c>
      <c r="AP7" s="619">
        <v>21422</v>
      </c>
      <c r="AQ7" s="620">
        <f>AO7/AP7</f>
        <v>0.23373167771449913</v>
      </c>
      <c r="AR7" s="621" t="s">
        <v>448</v>
      </c>
      <c r="AS7" s="167">
        <v>647</v>
      </c>
      <c r="AT7" s="167">
        <v>2700</v>
      </c>
      <c r="AU7" s="168">
        <f>AS7/AT7</f>
        <v>0.23962962962962964</v>
      </c>
      <c r="AV7" s="169" t="s">
        <v>449</v>
      </c>
      <c r="AW7" s="94"/>
      <c r="AX7" s="94"/>
      <c r="AY7" s="94"/>
      <c r="AZ7" s="94"/>
      <c r="BA7" s="94"/>
      <c r="BB7" s="94"/>
      <c r="BC7" s="94"/>
      <c r="BD7" s="94"/>
      <c r="BE7" s="94"/>
      <c r="BF7" s="94"/>
      <c r="BG7" s="94"/>
      <c r="BH7" s="94"/>
      <c r="BI7" s="94"/>
      <c r="BJ7" s="94"/>
      <c r="BK7" s="94"/>
      <c r="BL7" s="94"/>
      <c r="BM7" s="94"/>
      <c r="BN7" s="94"/>
      <c r="BO7" s="94"/>
      <c r="BP7" s="94"/>
      <c r="BQ7" s="94"/>
      <c r="BR7" s="94"/>
      <c r="BS7" s="94"/>
      <c r="BT7" s="94"/>
      <c r="BU7" s="94"/>
      <c r="BV7" s="94"/>
      <c r="BW7" s="94"/>
      <c r="BX7" s="94"/>
      <c r="BY7" s="94"/>
      <c r="BZ7" s="94"/>
    </row>
    <row r="8" spans="1:78" s="33" customFormat="1" ht="24" x14ac:dyDescent="0.25">
      <c r="A8" s="491"/>
      <c r="B8" s="491"/>
      <c r="C8" s="491"/>
      <c r="D8" s="491"/>
      <c r="E8" s="485"/>
      <c r="F8" s="491"/>
      <c r="G8" s="613"/>
      <c r="H8" s="615"/>
      <c r="I8" s="491"/>
      <c r="J8" s="506"/>
      <c r="K8" s="491"/>
      <c r="L8" s="611"/>
      <c r="M8" s="611"/>
      <c r="N8" s="486"/>
      <c r="O8" s="486"/>
      <c r="P8" s="486"/>
      <c r="Q8" s="155" t="s">
        <v>450</v>
      </c>
      <c r="R8" s="156" t="s">
        <v>451</v>
      </c>
      <c r="S8" s="157" t="s">
        <v>56</v>
      </c>
      <c r="T8" s="157">
        <v>0</v>
      </c>
      <c r="U8" s="170">
        <v>44</v>
      </c>
      <c r="V8" s="476"/>
      <c r="W8" s="626"/>
      <c r="X8" s="504"/>
      <c r="Y8" s="619"/>
      <c r="Z8" s="619"/>
      <c r="AA8" s="620"/>
      <c r="AB8" s="621"/>
      <c r="AC8" s="171">
        <v>3</v>
      </c>
      <c r="AD8" s="171">
        <v>44</v>
      </c>
      <c r="AE8" s="172">
        <f>AC8/AD8</f>
        <v>6.8181818181818177E-2</v>
      </c>
      <c r="AF8" s="171" t="s">
        <v>452</v>
      </c>
      <c r="AG8" s="619"/>
      <c r="AH8" s="619"/>
      <c r="AI8" s="620"/>
      <c r="AJ8" s="621"/>
      <c r="AK8" s="171">
        <v>6</v>
      </c>
      <c r="AL8" s="171">
        <v>44</v>
      </c>
      <c r="AM8" s="172">
        <f>AK8/AL8</f>
        <v>0.13636363636363635</v>
      </c>
      <c r="AN8" s="26" t="s">
        <v>453</v>
      </c>
      <c r="AO8" s="619"/>
      <c r="AP8" s="619"/>
      <c r="AQ8" s="620"/>
      <c r="AR8" s="621"/>
      <c r="AS8" s="171">
        <v>8</v>
      </c>
      <c r="AT8" s="171">
        <v>44</v>
      </c>
      <c r="AU8" s="172">
        <f>AS8/AT8</f>
        <v>0.18181818181818182</v>
      </c>
      <c r="AV8" s="26" t="s">
        <v>454</v>
      </c>
      <c r="AW8" s="94"/>
      <c r="AX8" s="94"/>
      <c r="AY8" s="94"/>
      <c r="AZ8" s="94"/>
      <c r="BA8" s="94"/>
      <c r="BB8" s="94"/>
      <c r="BC8" s="94"/>
      <c r="BD8" s="94"/>
      <c r="BE8" s="94"/>
      <c r="BF8" s="94"/>
      <c r="BG8" s="94"/>
      <c r="BH8" s="94"/>
      <c r="BI8" s="94"/>
      <c r="BJ8" s="94"/>
      <c r="BK8" s="94"/>
      <c r="BL8" s="94"/>
      <c r="BM8" s="94"/>
      <c r="BN8" s="94"/>
      <c r="BO8" s="94"/>
      <c r="BP8" s="94"/>
      <c r="BQ8" s="94"/>
      <c r="BR8" s="94"/>
      <c r="BS8" s="94"/>
      <c r="BT8" s="94"/>
      <c r="BU8" s="94"/>
      <c r="BV8" s="94"/>
      <c r="BW8" s="94"/>
      <c r="BX8" s="94"/>
      <c r="BY8" s="94"/>
      <c r="BZ8" s="94"/>
    </row>
    <row r="9" spans="1:78" s="22" customFormat="1" ht="96" x14ac:dyDescent="0.25">
      <c r="A9" s="491"/>
      <c r="B9" s="491"/>
      <c r="C9" s="491"/>
      <c r="D9" s="491"/>
      <c r="E9" s="485"/>
      <c r="F9" s="491"/>
      <c r="G9" s="613"/>
      <c r="H9" s="615"/>
      <c r="I9" s="491" t="s">
        <v>78</v>
      </c>
      <c r="J9" s="506"/>
      <c r="K9" s="491"/>
      <c r="L9" s="490" t="s">
        <v>455</v>
      </c>
      <c r="M9" s="490" t="s">
        <v>456</v>
      </c>
      <c r="N9" s="484" t="s">
        <v>56</v>
      </c>
      <c r="O9" s="484">
        <v>0</v>
      </c>
      <c r="P9" s="484">
        <v>816</v>
      </c>
      <c r="Q9" s="150" t="s">
        <v>457</v>
      </c>
      <c r="R9" s="150" t="s">
        <v>458</v>
      </c>
      <c r="S9" s="152" t="s">
        <v>56</v>
      </c>
      <c r="T9" s="152">
        <v>0</v>
      </c>
      <c r="U9" s="173">
        <v>816</v>
      </c>
      <c r="V9" s="476"/>
      <c r="W9" s="626"/>
      <c r="X9" s="504"/>
      <c r="Y9" s="171">
        <v>14</v>
      </c>
      <c r="Z9" s="171">
        <v>816</v>
      </c>
      <c r="AA9" s="172">
        <f>Y9/Z9</f>
        <v>1.7156862745098041E-2</v>
      </c>
      <c r="AB9" s="174" t="s">
        <v>459</v>
      </c>
      <c r="AC9" s="167">
        <v>27</v>
      </c>
      <c r="AD9" s="167">
        <v>816</v>
      </c>
      <c r="AE9" s="175">
        <f>AC9/AD9</f>
        <v>3.3088235294117647E-2</v>
      </c>
      <c r="AF9" s="169" t="s">
        <v>460</v>
      </c>
      <c r="AG9" s="623">
        <v>40</v>
      </c>
      <c r="AH9" s="623">
        <v>816</v>
      </c>
      <c r="AI9" s="632">
        <f>AG9/AH9</f>
        <v>4.9019607843137254E-2</v>
      </c>
      <c r="AJ9" s="629" t="s">
        <v>461</v>
      </c>
      <c r="AK9" s="167">
        <v>59</v>
      </c>
      <c r="AL9" s="167">
        <v>816</v>
      </c>
      <c r="AM9" s="175">
        <f>AK9/AL9</f>
        <v>7.2303921568627458E-2</v>
      </c>
      <c r="AN9" s="169" t="s">
        <v>462</v>
      </c>
      <c r="AO9" s="623">
        <v>93</v>
      </c>
      <c r="AP9" s="623">
        <v>816</v>
      </c>
      <c r="AQ9" s="632">
        <f>AO9/AP9</f>
        <v>0.11397058823529412</v>
      </c>
      <c r="AR9" s="629" t="s">
        <v>463</v>
      </c>
      <c r="AS9" s="167">
        <v>123</v>
      </c>
      <c r="AT9" s="167">
        <v>816</v>
      </c>
      <c r="AU9" s="175">
        <f>AS9/AT9</f>
        <v>0.15073529411764705</v>
      </c>
      <c r="AV9" s="169" t="s">
        <v>464</v>
      </c>
      <c r="AW9" s="94"/>
      <c r="AX9" s="94"/>
      <c r="AY9" s="94"/>
      <c r="AZ9" s="94"/>
      <c r="BA9" s="94"/>
      <c r="BB9" s="94"/>
      <c r="BC9" s="94"/>
      <c r="BD9" s="94"/>
      <c r="BE9" s="94"/>
      <c r="BF9" s="94"/>
      <c r="BG9" s="94"/>
      <c r="BH9" s="94"/>
      <c r="BI9" s="94"/>
      <c r="BJ9" s="94"/>
      <c r="BK9" s="94"/>
      <c r="BL9" s="94"/>
      <c r="BM9" s="94"/>
      <c r="BN9" s="94"/>
      <c r="BO9" s="94"/>
      <c r="BP9" s="94"/>
      <c r="BQ9" s="94"/>
      <c r="BR9" s="94"/>
      <c r="BS9" s="94"/>
      <c r="BT9" s="94"/>
      <c r="BU9" s="94"/>
      <c r="BV9" s="94"/>
      <c r="BW9" s="94"/>
      <c r="BX9" s="94"/>
      <c r="BY9" s="94"/>
      <c r="BZ9" s="94"/>
    </row>
    <row r="10" spans="1:78" s="22" customFormat="1" ht="84" x14ac:dyDescent="0.25">
      <c r="A10" s="491"/>
      <c r="B10" s="491"/>
      <c r="C10" s="491"/>
      <c r="D10" s="491"/>
      <c r="E10" s="485"/>
      <c r="F10" s="491"/>
      <c r="G10" s="613"/>
      <c r="H10" s="615"/>
      <c r="I10" s="611"/>
      <c r="J10" s="506"/>
      <c r="K10" s="491"/>
      <c r="L10" s="611"/>
      <c r="M10" s="611"/>
      <c r="N10" s="486"/>
      <c r="O10" s="486"/>
      <c r="P10" s="486"/>
      <c r="Q10" s="155" t="s">
        <v>465</v>
      </c>
      <c r="R10" s="156" t="s">
        <v>466</v>
      </c>
      <c r="S10" s="157" t="s">
        <v>56</v>
      </c>
      <c r="T10" s="157">
        <v>0</v>
      </c>
      <c r="U10" s="170">
        <v>359</v>
      </c>
      <c r="V10" s="476"/>
      <c r="W10" s="626"/>
      <c r="X10" s="504"/>
      <c r="Y10" s="167"/>
      <c r="Z10" s="167"/>
      <c r="AA10" s="168"/>
      <c r="AB10" s="176"/>
      <c r="AC10" s="167">
        <v>3</v>
      </c>
      <c r="AD10" s="167">
        <v>359</v>
      </c>
      <c r="AE10" s="172">
        <f>AC10/AD10</f>
        <v>8.356545961002786E-3</v>
      </c>
      <c r="AF10" s="169" t="s">
        <v>467</v>
      </c>
      <c r="AG10" s="623"/>
      <c r="AH10" s="623"/>
      <c r="AI10" s="632"/>
      <c r="AJ10" s="629"/>
      <c r="AK10" s="167">
        <v>24</v>
      </c>
      <c r="AL10" s="167">
        <v>359</v>
      </c>
      <c r="AM10" s="172">
        <f>AK10/AL10</f>
        <v>6.6852367688022288E-2</v>
      </c>
      <c r="AN10" s="169" t="s">
        <v>468</v>
      </c>
      <c r="AO10" s="623"/>
      <c r="AP10" s="623"/>
      <c r="AQ10" s="632"/>
      <c r="AR10" s="629"/>
      <c r="AS10" s="167">
        <v>83</v>
      </c>
      <c r="AT10" s="167">
        <v>359</v>
      </c>
      <c r="AU10" s="172">
        <f>AS10/AT10</f>
        <v>0.23119777158774374</v>
      </c>
      <c r="AV10" s="169" t="s">
        <v>469</v>
      </c>
      <c r="AW10" s="94"/>
      <c r="AX10" s="94"/>
      <c r="AY10" s="94"/>
      <c r="AZ10" s="94"/>
      <c r="BA10" s="94"/>
      <c r="BB10" s="94"/>
      <c r="BC10" s="94"/>
      <c r="BD10" s="94"/>
      <c r="BE10" s="94"/>
      <c r="BF10" s="94"/>
      <c r="BG10" s="94"/>
      <c r="BH10" s="94"/>
      <c r="BI10" s="94"/>
      <c r="BJ10" s="94"/>
      <c r="BK10" s="94"/>
      <c r="BL10" s="94"/>
      <c r="BM10" s="94"/>
      <c r="BN10" s="94"/>
      <c r="BO10" s="94"/>
      <c r="BP10" s="94"/>
      <c r="BQ10" s="94"/>
      <c r="BR10" s="94"/>
      <c r="BS10" s="94"/>
      <c r="BT10" s="94"/>
      <c r="BU10" s="94"/>
      <c r="BV10" s="94"/>
      <c r="BW10" s="94"/>
      <c r="BX10" s="94"/>
      <c r="BY10" s="94"/>
      <c r="BZ10" s="94"/>
    </row>
    <row r="11" spans="1:78" s="33" customFormat="1" ht="288" x14ac:dyDescent="0.25">
      <c r="A11" s="491"/>
      <c r="B11" s="491"/>
      <c r="C11" s="491"/>
      <c r="D11" s="491"/>
      <c r="E11" s="485"/>
      <c r="F11" s="491"/>
      <c r="G11" s="613"/>
      <c r="H11" s="615"/>
      <c r="I11" s="630" t="s">
        <v>51</v>
      </c>
      <c r="J11" s="506"/>
      <c r="K11" s="491"/>
      <c r="L11" s="159" t="s">
        <v>470</v>
      </c>
      <c r="M11" s="159" t="s">
        <v>471</v>
      </c>
      <c r="N11" s="161" t="s">
        <v>74</v>
      </c>
      <c r="O11" s="162">
        <v>0.83</v>
      </c>
      <c r="P11" s="161" t="s">
        <v>472</v>
      </c>
      <c r="Q11" s="177"/>
      <c r="R11" s="156"/>
      <c r="S11" s="155"/>
      <c r="T11" s="157"/>
      <c r="U11" s="157"/>
      <c r="V11" s="476"/>
      <c r="W11" s="626"/>
      <c r="X11" s="504"/>
      <c r="Y11" s="171"/>
      <c r="Z11" s="171"/>
      <c r="AA11" s="178"/>
      <c r="AB11" s="174"/>
      <c r="AC11" s="26"/>
      <c r="AD11" s="26"/>
      <c r="AE11" s="26"/>
      <c r="AF11" s="26"/>
      <c r="AG11" s="171"/>
      <c r="AH11" s="171"/>
      <c r="AI11" s="178"/>
      <c r="AJ11" s="174"/>
      <c r="AK11" s="26"/>
      <c r="AL11" s="26"/>
      <c r="AM11" s="26"/>
      <c r="AN11" s="26"/>
      <c r="AO11" s="171"/>
      <c r="AP11" s="171"/>
      <c r="AQ11" s="178"/>
      <c r="AR11" s="174"/>
      <c r="AS11" s="26"/>
      <c r="AT11" s="26"/>
      <c r="AU11" s="26"/>
      <c r="AV11" s="26"/>
      <c r="AW11" s="94"/>
      <c r="AX11" s="94"/>
      <c r="AY11" s="94"/>
      <c r="AZ11" s="94"/>
      <c r="BA11" s="94"/>
      <c r="BB11" s="94"/>
      <c r="BC11" s="94"/>
      <c r="BD11" s="94"/>
      <c r="BE11" s="94"/>
      <c r="BF11" s="94"/>
      <c r="BG11" s="94"/>
      <c r="BH11" s="94"/>
      <c r="BI11" s="94"/>
      <c r="BJ11" s="94"/>
      <c r="BK11" s="94"/>
      <c r="BL11" s="94"/>
      <c r="BM11" s="94"/>
      <c r="BN11" s="94"/>
      <c r="BO11" s="94"/>
      <c r="BP11" s="94"/>
      <c r="BQ11" s="94"/>
      <c r="BR11" s="94"/>
      <c r="BS11" s="94"/>
      <c r="BT11" s="94"/>
      <c r="BU11" s="94"/>
      <c r="BV11" s="94"/>
      <c r="BW11" s="94"/>
      <c r="BX11" s="94"/>
      <c r="BY11" s="94"/>
      <c r="BZ11" s="94"/>
    </row>
    <row r="12" spans="1:78" s="22" customFormat="1" ht="276" x14ac:dyDescent="0.25">
      <c r="A12" s="491"/>
      <c r="B12" s="491"/>
      <c r="C12" s="491"/>
      <c r="D12" s="491"/>
      <c r="E12" s="485"/>
      <c r="F12" s="491"/>
      <c r="G12" s="613"/>
      <c r="H12" s="615"/>
      <c r="I12" s="631"/>
      <c r="J12" s="506"/>
      <c r="K12" s="491"/>
      <c r="L12" s="179" t="s">
        <v>473</v>
      </c>
      <c r="M12" s="180" t="s">
        <v>474</v>
      </c>
      <c r="N12" s="181" t="s">
        <v>74</v>
      </c>
      <c r="O12" s="182">
        <v>0.79</v>
      </c>
      <c r="P12" s="182" t="s">
        <v>472</v>
      </c>
      <c r="Q12" s="151"/>
      <c r="R12" s="150"/>
      <c r="S12" s="151"/>
      <c r="T12" s="152"/>
      <c r="U12" s="183"/>
      <c r="V12" s="476"/>
      <c r="W12" s="626"/>
      <c r="X12" s="504"/>
      <c r="Y12" s="167"/>
      <c r="Z12" s="184"/>
      <c r="AA12" s="168"/>
      <c r="AB12" s="176"/>
      <c r="AC12" s="167"/>
      <c r="AD12" s="167"/>
      <c r="AE12" s="167"/>
      <c r="AF12" s="167"/>
      <c r="AG12" s="167"/>
      <c r="AH12" s="184"/>
      <c r="AI12" s="168"/>
      <c r="AJ12" s="176"/>
      <c r="AK12" s="167"/>
      <c r="AL12" s="167"/>
      <c r="AM12" s="167"/>
      <c r="AN12" s="167"/>
      <c r="AO12" s="167"/>
      <c r="AP12" s="184"/>
      <c r="AQ12" s="168"/>
      <c r="AR12" s="176"/>
      <c r="AS12" s="167"/>
      <c r="AT12" s="167"/>
      <c r="AU12" s="167"/>
      <c r="AV12" s="167"/>
      <c r="AW12" s="94"/>
      <c r="AX12" s="94"/>
      <c r="AY12" s="94"/>
      <c r="AZ12" s="94"/>
      <c r="BA12" s="94"/>
      <c r="BB12" s="94"/>
      <c r="BC12" s="94"/>
      <c r="BD12" s="94"/>
      <c r="BE12" s="94"/>
      <c r="BF12" s="94"/>
      <c r="BG12" s="94"/>
      <c r="BH12" s="94"/>
      <c r="BI12" s="94"/>
      <c r="BJ12" s="94"/>
      <c r="BK12" s="94"/>
      <c r="BL12" s="94"/>
      <c r="BM12" s="94"/>
      <c r="BN12" s="94"/>
      <c r="BO12" s="94"/>
      <c r="BP12" s="94"/>
      <c r="BQ12" s="94"/>
      <c r="BR12" s="94"/>
      <c r="BS12" s="94"/>
      <c r="BT12" s="94"/>
      <c r="BU12" s="94"/>
      <c r="BV12" s="94"/>
      <c r="BW12" s="94"/>
      <c r="BX12" s="94"/>
      <c r="BY12" s="94"/>
      <c r="BZ12" s="94"/>
    </row>
    <row r="13" spans="1:78" s="33" customFormat="1" ht="24" x14ac:dyDescent="0.25">
      <c r="A13" s="491"/>
      <c r="B13" s="491"/>
      <c r="C13" s="491"/>
      <c r="D13" s="491"/>
      <c r="E13" s="485"/>
      <c r="F13" s="491"/>
      <c r="G13" s="613"/>
      <c r="H13" s="615"/>
      <c r="I13" s="633" t="s">
        <v>78</v>
      </c>
      <c r="J13" s="506"/>
      <c r="K13" s="491"/>
      <c r="L13" s="156" t="s">
        <v>475</v>
      </c>
      <c r="M13" s="163" t="s">
        <v>476</v>
      </c>
      <c r="N13" s="157" t="s">
        <v>56</v>
      </c>
      <c r="O13" s="157">
        <v>0</v>
      </c>
      <c r="P13" s="158">
        <v>1</v>
      </c>
      <c r="Q13" s="155"/>
      <c r="R13" s="156"/>
      <c r="S13" s="155"/>
      <c r="T13" s="157"/>
      <c r="U13" s="160"/>
      <c r="V13" s="476"/>
      <c r="W13" s="626"/>
      <c r="X13" s="504"/>
      <c r="Y13" s="171"/>
      <c r="Z13" s="185"/>
      <c r="AA13" s="178"/>
      <c r="AB13" s="186"/>
      <c r="AC13" s="171"/>
      <c r="AD13" s="171"/>
      <c r="AE13" s="171"/>
      <c r="AF13" s="171"/>
      <c r="AG13" s="171"/>
      <c r="AH13" s="185"/>
      <c r="AI13" s="178"/>
      <c r="AJ13" s="186"/>
      <c r="AK13" s="171"/>
      <c r="AL13" s="171"/>
      <c r="AM13" s="171"/>
      <c r="AN13" s="171"/>
      <c r="AO13" s="171"/>
      <c r="AP13" s="185"/>
      <c r="AQ13" s="178"/>
      <c r="AR13" s="186"/>
      <c r="AS13" s="171"/>
      <c r="AT13" s="171"/>
      <c r="AU13" s="171"/>
      <c r="AV13" s="171"/>
      <c r="AW13" s="94"/>
      <c r="AX13" s="94"/>
      <c r="AY13" s="94"/>
      <c r="AZ13" s="94"/>
      <c r="BA13" s="94"/>
      <c r="BB13" s="94"/>
      <c r="BC13" s="94"/>
      <c r="BD13" s="94"/>
      <c r="BE13" s="94"/>
      <c r="BF13" s="94"/>
      <c r="BG13" s="94"/>
      <c r="BH13" s="94"/>
      <c r="BI13" s="94"/>
      <c r="BJ13" s="94"/>
      <c r="BK13" s="94"/>
      <c r="BL13" s="94"/>
      <c r="BM13" s="94"/>
      <c r="BN13" s="94"/>
      <c r="BO13" s="94"/>
      <c r="BP13" s="94"/>
      <c r="BQ13" s="94"/>
      <c r="BR13" s="94"/>
      <c r="BS13" s="94"/>
      <c r="BT13" s="94"/>
      <c r="BU13" s="94"/>
      <c r="BV13" s="94"/>
      <c r="BW13" s="94"/>
      <c r="BX13" s="94"/>
      <c r="BY13" s="94"/>
      <c r="BZ13" s="94"/>
    </row>
    <row r="14" spans="1:78" s="22" customFormat="1" ht="24" x14ac:dyDescent="0.25">
      <c r="A14" s="491"/>
      <c r="B14" s="491"/>
      <c r="C14" s="491"/>
      <c r="D14" s="491"/>
      <c r="E14" s="485"/>
      <c r="F14" s="491"/>
      <c r="G14" s="613"/>
      <c r="H14" s="615"/>
      <c r="I14" s="616"/>
      <c r="J14" s="506"/>
      <c r="K14" s="491"/>
      <c r="L14" s="150" t="s">
        <v>477</v>
      </c>
      <c r="M14" s="150" t="s">
        <v>478</v>
      </c>
      <c r="N14" s="152" t="s">
        <v>74</v>
      </c>
      <c r="O14" s="187">
        <v>0</v>
      </c>
      <c r="P14" s="188">
        <v>1</v>
      </c>
      <c r="Q14" s="151"/>
      <c r="R14" s="150"/>
      <c r="S14" s="151"/>
      <c r="T14" s="152"/>
      <c r="U14" s="183"/>
      <c r="V14" s="476"/>
      <c r="W14" s="626"/>
      <c r="X14" s="504"/>
      <c r="Y14" s="167"/>
      <c r="Z14" s="168"/>
      <c r="AA14" s="168"/>
      <c r="AB14" s="176"/>
      <c r="AC14" s="167"/>
      <c r="AD14" s="167"/>
      <c r="AE14" s="167"/>
      <c r="AF14" s="167"/>
      <c r="AG14" s="167"/>
      <c r="AH14" s="168"/>
      <c r="AI14" s="168"/>
      <c r="AJ14" s="176"/>
      <c r="AK14" s="167"/>
      <c r="AL14" s="167"/>
      <c r="AM14" s="167"/>
      <c r="AN14" s="167"/>
      <c r="AO14" s="167"/>
      <c r="AP14" s="168"/>
      <c r="AQ14" s="168"/>
      <c r="AR14" s="176"/>
      <c r="AS14" s="167"/>
      <c r="AT14" s="167"/>
      <c r="AU14" s="167"/>
      <c r="AV14" s="167"/>
      <c r="AW14" s="94"/>
      <c r="AX14" s="94"/>
      <c r="AY14" s="94"/>
      <c r="AZ14" s="94"/>
      <c r="BA14" s="94"/>
      <c r="BB14" s="94"/>
      <c r="BC14" s="94"/>
      <c r="BD14" s="94"/>
      <c r="BE14" s="94"/>
      <c r="BF14" s="94"/>
      <c r="BG14" s="94"/>
      <c r="BH14" s="94"/>
      <c r="BI14" s="94"/>
      <c r="BJ14" s="94"/>
      <c r="BK14" s="94"/>
      <c r="BL14" s="94"/>
      <c r="BM14" s="94"/>
      <c r="BN14" s="94"/>
      <c r="BO14" s="94"/>
      <c r="BP14" s="94"/>
      <c r="BQ14" s="94"/>
      <c r="BR14" s="94"/>
      <c r="BS14" s="94"/>
      <c r="BT14" s="94"/>
      <c r="BU14" s="94"/>
      <c r="BV14" s="94"/>
      <c r="BW14" s="94"/>
      <c r="BX14" s="94"/>
      <c r="BY14" s="94"/>
      <c r="BZ14" s="94"/>
    </row>
    <row r="15" spans="1:78" s="33" customFormat="1" ht="24" x14ac:dyDescent="0.25">
      <c r="A15" s="491"/>
      <c r="B15" s="491"/>
      <c r="C15" s="491"/>
      <c r="D15" s="491"/>
      <c r="E15" s="485"/>
      <c r="F15" s="491"/>
      <c r="G15" s="613"/>
      <c r="H15" s="615"/>
      <c r="I15" s="616"/>
      <c r="J15" s="506"/>
      <c r="K15" s="491"/>
      <c r="L15" s="156" t="s">
        <v>479</v>
      </c>
      <c r="M15" s="163" t="s">
        <v>480</v>
      </c>
      <c r="N15" s="157" t="s">
        <v>74</v>
      </c>
      <c r="O15" s="161">
        <v>0</v>
      </c>
      <c r="P15" s="162">
        <v>1</v>
      </c>
      <c r="Q15" s="155"/>
      <c r="R15" s="156"/>
      <c r="S15" s="155"/>
      <c r="T15" s="157"/>
      <c r="U15" s="160"/>
      <c r="V15" s="476"/>
      <c r="W15" s="626"/>
      <c r="X15" s="504"/>
      <c r="Y15" s="171"/>
      <c r="Z15" s="178"/>
      <c r="AA15" s="178"/>
      <c r="AB15" s="186"/>
      <c r="AC15" s="171"/>
      <c r="AD15" s="171"/>
      <c r="AE15" s="171"/>
      <c r="AF15" s="171"/>
      <c r="AG15" s="171"/>
      <c r="AH15" s="178"/>
      <c r="AI15" s="178"/>
      <c r="AJ15" s="186"/>
      <c r="AK15" s="171"/>
      <c r="AL15" s="171"/>
      <c r="AM15" s="171"/>
      <c r="AN15" s="171"/>
      <c r="AO15" s="171"/>
      <c r="AP15" s="178"/>
      <c r="AQ15" s="178"/>
      <c r="AR15" s="186"/>
      <c r="AS15" s="171"/>
      <c r="AT15" s="171"/>
      <c r="AU15" s="171"/>
      <c r="AV15" s="171"/>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row>
    <row r="16" spans="1:78" s="33" customFormat="1" ht="24" x14ac:dyDescent="0.25">
      <c r="A16" s="491"/>
      <c r="B16" s="491"/>
      <c r="C16" s="491"/>
      <c r="D16" s="491"/>
      <c r="E16" s="485"/>
      <c r="F16" s="491"/>
      <c r="G16" s="613"/>
      <c r="H16" s="615"/>
      <c r="I16" s="616"/>
      <c r="J16" s="506"/>
      <c r="K16" s="491"/>
      <c r="L16" s="150" t="s">
        <v>481</v>
      </c>
      <c r="M16" s="164" t="s">
        <v>482</v>
      </c>
      <c r="N16" s="152" t="s">
        <v>74</v>
      </c>
      <c r="O16" s="187">
        <v>0</v>
      </c>
      <c r="P16" s="188">
        <v>1</v>
      </c>
      <c r="Q16" s="151"/>
      <c r="R16" s="150"/>
      <c r="S16" s="151"/>
      <c r="T16" s="152"/>
      <c r="U16" s="183"/>
      <c r="V16" s="476"/>
      <c r="W16" s="626"/>
      <c r="X16" s="504"/>
      <c r="Y16" s="167"/>
      <c r="Z16" s="168"/>
      <c r="AA16" s="168"/>
      <c r="AB16" s="176"/>
      <c r="AC16" s="167"/>
      <c r="AD16" s="167"/>
      <c r="AE16" s="167"/>
      <c r="AF16" s="167"/>
      <c r="AG16" s="167"/>
      <c r="AH16" s="168"/>
      <c r="AI16" s="168"/>
      <c r="AJ16" s="176"/>
      <c r="AK16" s="167"/>
      <c r="AL16" s="167"/>
      <c r="AM16" s="167"/>
      <c r="AN16" s="167"/>
      <c r="AO16" s="167"/>
      <c r="AP16" s="168"/>
      <c r="AQ16" s="168"/>
      <c r="AR16" s="176"/>
      <c r="AS16" s="167"/>
      <c r="AT16" s="167"/>
      <c r="AU16" s="167"/>
      <c r="AV16" s="167"/>
      <c r="AW16" s="94"/>
      <c r="AX16" s="94"/>
      <c r="AY16" s="94"/>
      <c r="AZ16" s="94"/>
      <c r="BA16" s="94"/>
      <c r="BB16" s="94"/>
      <c r="BC16" s="94"/>
      <c r="BD16" s="94"/>
      <c r="BE16" s="94"/>
      <c r="BF16" s="94"/>
      <c r="BG16" s="94"/>
      <c r="BH16" s="94"/>
      <c r="BI16" s="94"/>
      <c r="BJ16" s="94"/>
      <c r="BK16" s="94"/>
      <c r="BL16" s="94"/>
      <c r="BM16" s="94"/>
      <c r="BN16" s="94"/>
      <c r="BO16" s="94"/>
      <c r="BP16" s="94"/>
      <c r="BQ16" s="94"/>
      <c r="BR16" s="94"/>
      <c r="BS16" s="94"/>
      <c r="BT16" s="94"/>
      <c r="BU16" s="94"/>
      <c r="BV16" s="94"/>
      <c r="BW16" s="94"/>
      <c r="BX16" s="94"/>
      <c r="BY16" s="94"/>
      <c r="BZ16" s="94"/>
    </row>
    <row r="17" spans="1:78" s="33" customFormat="1" ht="36" x14ac:dyDescent="0.25">
      <c r="A17" s="491"/>
      <c r="B17" s="491"/>
      <c r="C17" s="491"/>
      <c r="D17" s="491"/>
      <c r="E17" s="486"/>
      <c r="F17" s="611"/>
      <c r="G17" s="613"/>
      <c r="H17" s="615"/>
      <c r="I17" s="634"/>
      <c r="J17" s="506"/>
      <c r="K17" s="491"/>
      <c r="L17" s="156" t="s">
        <v>483</v>
      </c>
      <c r="M17" s="163" t="s">
        <v>484</v>
      </c>
      <c r="N17" s="157" t="s">
        <v>74</v>
      </c>
      <c r="O17" s="161">
        <v>0</v>
      </c>
      <c r="P17" s="162">
        <v>1</v>
      </c>
      <c r="Q17" s="155"/>
      <c r="R17" s="156"/>
      <c r="S17" s="155"/>
      <c r="T17" s="157"/>
      <c r="U17" s="157"/>
      <c r="V17" s="476"/>
      <c r="W17" s="626"/>
      <c r="X17" s="504"/>
      <c r="Y17" s="171"/>
      <c r="Z17" s="171"/>
      <c r="AA17" s="189"/>
      <c r="AB17" s="190"/>
      <c r="AC17" s="171"/>
      <c r="AD17" s="171"/>
      <c r="AE17" s="171"/>
      <c r="AF17" s="72"/>
      <c r="AG17" s="171"/>
      <c r="AH17" s="171"/>
      <c r="AI17" s="189"/>
      <c r="AJ17" s="190"/>
      <c r="AK17" s="171"/>
      <c r="AL17" s="171"/>
      <c r="AM17" s="171"/>
      <c r="AN17" s="72"/>
      <c r="AO17" s="171"/>
      <c r="AP17" s="171"/>
      <c r="AQ17" s="189"/>
      <c r="AR17" s="190"/>
      <c r="AS17" s="171"/>
      <c r="AT17" s="171"/>
      <c r="AU17" s="171"/>
      <c r="AV17" s="72"/>
      <c r="AW17" s="94"/>
      <c r="AX17" s="94"/>
      <c r="AY17" s="94"/>
      <c r="AZ17" s="94"/>
      <c r="BA17" s="94"/>
      <c r="BB17" s="94"/>
      <c r="BC17" s="94"/>
      <c r="BD17" s="94"/>
      <c r="BE17" s="94"/>
      <c r="BF17" s="94"/>
      <c r="BG17" s="94"/>
      <c r="BH17" s="94"/>
      <c r="BI17" s="94"/>
      <c r="BJ17" s="94"/>
      <c r="BK17" s="94"/>
      <c r="BL17" s="94"/>
      <c r="BM17" s="94"/>
      <c r="BN17" s="94"/>
      <c r="BO17" s="94"/>
      <c r="BP17" s="94"/>
      <c r="BQ17" s="94"/>
      <c r="BR17" s="94"/>
      <c r="BS17" s="94"/>
      <c r="BT17" s="94"/>
      <c r="BU17" s="94"/>
      <c r="BV17" s="94"/>
      <c r="BW17" s="94"/>
      <c r="BX17" s="94"/>
      <c r="BY17" s="94"/>
      <c r="BZ17" s="94"/>
    </row>
    <row r="18" spans="1:78" s="22" customFormat="1" ht="36" x14ac:dyDescent="0.25">
      <c r="A18" s="491"/>
      <c r="B18" s="491"/>
      <c r="C18" s="491"/>
      <c r="D18" s="491"/>
      <c r="E18" s="151" t="s">
        <v>485</v>
      </c>
      <c r="F18" s="150" t="s">
        <v>326</v>
      </c>
      <c r="G18" s="613"/>
      <c r="H18" s="615"/>
      <c r="I18" s="99" t="s">
        <v>78</v>
      </c>
      <c r="J18" s="506"/>
      <c r="K18" s="491"/>
      <c r="L18" s="151" t="s">
        <v>486</v>
      </c>
      <c r="M18" s="164" t="s">
        <v>487</v>
      </c>
      <c r="N18" s="152" t="s">
        <v>74</v>
      </c>
      <c r="O18" s="152">
        <v>50</v>
      </c>
      <c r="P18" s="154">
        <v>0.4</v>
      </c>
      <c r="Q18" s="151"/>
      <c r="R18" s="150"/>
      <c r="S18" s="151"/>
      <c r="T18" s="152"/>
      <c r="U18" s="152"/>
      <c r="V18" s="477"/>
      <c r="W18" s="626"/>
      <c r="X18" s="504"/>
      <c r="Y18" s="191">
        <v>8.0799999999999997E-2</v>
      </c>
      <c r="Z18" s="184">
        <v>0.4</v>
      </c>
      <c r="AA18" s="168"/>
      <c r="AB18" s="192" t="s">
        <v>488</v>
      </c>
      <c r="AF18" s="79"/>
      <c r="AG18" s="191">
        <v>7.3099999999999998E-2</v>
      </c>
      <c r="AH18" s="184">
        <v>0.4</v>
      </c>
      <c r="AI18" s="168"/>
      <c r="AJ18" s="192" t="s">
        <v>489</v>
      </c>
      <c r="AN18" s="79"/>
      <c r="AO18" s="191">
        <v>7.9000000000000001E-2</v>
      </c>
      <c r="AP18" s="184">
        <v>0.4</v>
      </c>
      <c r="AQ18" s="168"/>
      <c r="AR18" s="192" t="s">
        <v>490</v>
      </c>
      <c r="AV18" s="79"/>
      <c r="AW18" s="94"/>
      <c r="AX18" s="94"/>
      <c r="AY18" s="94"/>
      <c r="AZ18" s="94"/>
      <c r="BA18" s="94"/>
      <c r="BB18" s="94"/>
      <c r="BC18" s="94"/>
      <c r="BD18" s="94"/>
      <c r="BE18" s="94"/>
      <c r="BF18" s="94"/>
      <c r="BG18" s="94"/>
      <c r="BH18" s="94"/>
      <c r="BI18" s="94"/>
      <c r="BJ18" s="94"/>
      <c r="BK18" s="94"/>
      <c r="BL18" s="94"/>
      <c r="BM18" s="94"/>
      <c r="BN18" s="94"/>
      <c r="BO18" s="94"/>
      <c r="BP18" s="94"/>
      <c r="BQ18" s="94"/>
      <c r="BR18" s="94"/>
      <c r="BS18" s="94"/>
      <c r="BT18" s="94"/>
      <c r="BU18" s="94"/>
      <c r="BV18" s="94"/>
      <c r="BW18" s="94"/>
      <c r="BX18" s="94"/>
      <c r="BY18" s="94"/>
      <c r="BZ18" s="94"/>
    </row>
    <row r="19" spans="1:78" s="33" customFormat="1" ht="132" x14ac:dyDescent="0.25">
      <c r="A19" s="491"/>
      <c r="B19" s="491"/>
      <c r="C19" s="491"/>
      <c r="D19" s="491"/>
      <c r="E19" s="151" t="s">
        <v>485</v>
      </c>
      <c r="F19" s="150" t="s">
        <v>326</v>
      </c>
      <c r="G19" s="616"/>
      <c r="H19" s="617"/>
      <c r="I19" s="618"/>
      <c r="J19" s="506"/>
      <c r="K19" s="635" t="s">
        <v>491</v>
      </c>
      <c r="L19" s="640" t="s">
        <v>492</v>
      </c>
      <c r="M19" s="490" t="s">
        <v>492</v>
      </c>
      <c r="N19" s="484" t="s">
        <v>74</v>
      </c>
      <c r="O19" s="484">
        <v>0</v>
      </c>
      <c r="P19" s="487">
        <v>1</v>
      </c>
      <c r="Q19" s="150" t="s">
        <v>493</v>
      </c>
      <c r="R19" s="150" t="s">
        <v>494</v>
      </c>
      <c r="S19" s="151" t="s">
        <v>74</v>
      </c>
      <c r="T19" s="152">
        <v>0</v>
      </c>
      <c r="U19" s="154">
        <v>1</v>
      </c>
      <c r="V19" s="627">
        <v>2431029991</v>
      </c>
      <c r="W19" s="626"/>
      <c r="X19" s="504"/>
      <c r="Y19" s="622">
        <v>9</v>
      </c>
      <c r="Z19" s="623">
        <v>100</v>
      </c>
      <c r="AA19" s="624">
        <f>Y19/Z19</f>
        <v>0.09</v>
      </c>
      <c r="AB19" s="504" t="s">
        <v>495</v>
      </c>
      <c r="AC19" s="193">
        <v>32</v>
      </c>
      <c r="AD19" s="185">
        <v>1</v>
      </c>
      <c r="AE19" s="185">
        <v>0.32</v>
      </c>
      <c r="AF19" s="190" t="s">
        <v>496</v>
      </c>
      <c r="AG19" s="622">
        <v>14</v>
      </c>
      <c r="AH19" s="623">
        <v>100</v>
      </c>
      <c r="AI19" s="624">
        <f>AG19/AH19</f>
        <v>0.14000000000000001</v>
      </c>
      <c r="AJ19" s="504" t="s">
        <v>497</v>
      </c>
      <c r="AK19" s="194"/>
      <c r="AL19" s="185">
        <v>1</v>
      </c>
      <c r="AM19" s="185"/>
      <c r="AN19" s="190"/>
      <c r="AO19" s="622">
        <v>22</v>
      </c>
      <c r="AP19" s="623">
        <v>100</v>
      </c>
      <c r="AQ19" s="624">
        <v>0.22</v>
      </c>
      <c r="AR19" s="504" t="s">
        <v>498</v>
      </c>
      <c r="AS19" s="195">
        <v>0.42</v>
      </c>
      <c r="AT19" s="185">
        <v>1</v>
      </c>
      <c r="AU19" s="185">
        <v>0.42</v>
      </c>
      <c r="AV19" s="190" t="s">
        <v>499</v>
      </c>
      <c r="AW19" s="94"/>
      <c r="AX19" s="94"/>
      <c r="AY19" s="94"/>
      <c r="AZ19" s="94"/>
      <c r="BA19" s="94"/>
      <c r="BB19" s="94"/>
      <c r="BC19" s="94"/>
      <c r="BD19" s="94"/>
      <c r="BE19" s="94"/>
      <c r="BF19" s="94"/>
      <c r="BG19" s="94"/>
      <c r="BH19" s="94"/>
      <c r="BI19" s="94"/>
      <c r="BJ19" s="94"/>
      <c r="BK19" s="94"/>
      <c r="BL19" s="94"/>
      <c r="BM19" s="94"/>
      <c r="BN19" s="94"/>
      <c r="BO19" s="94"/>
      <c r="BP19" s="94"/>
      <c r="BQ19" s="94"/>
      <c r="BR19" s="94"/>
      <c r="BS19" s="94"/>
      <c r="BT19" s="94"/>
      <c r="BU19" s="94"/>
      <c r="BV19" s="94"/>
      <c r="BW19" s="94"/>
      <c r="BX19" s="94"/>
      <c r="BY19" s="94"/>
      <c r="BZ19" s="94"/>
    </row>
    <row r="20" spans="1:78" s="33" customFormat="1" ht="120" x14ac:dyDescent="0.25">
      <c r="A20" s="491"/>
      <c r="B20" s="491"/>
      <c r="C20" s="491"/>
      <c r="D20" s="491"/>
      <c r="E20" s="177" t="s">
        <v>485</v>
      </c>
      <c r="F20" s="177" t="s">
        <v>326</v>
      </c>
      <c r="G20" s="616"/>
      <c r="H20" s="617"/>
      <c r="I20" s="618"/>
      <c r="J20" s="506"/>
      <c r="K20" s="635"/>
      <c r="L20" s="641"/>
      <c r="M20" s="611"/>
      <c r="N20" s="486"/>
      <c r="O20" s="486"/>
      <c r="P20" s="489"/>
      <c r="Q20" s="177" t="s">
        <v>500</v>
      </c>
      <c r="R20" s="159" t="s">
        <v>501</v>
      </c>
      <c r="S20" s="196" t="s">
        <v>74</v>
      </c>
      <c r="T20" s="161">
        <v>0</v>
      </c>
      <c r="U20" s="162">
        <v>1</v>
      </c>
      <c r="V20" s="628"/>
      <c r="W20" s="626"/>
      <c r="X20" s="504"/>
      <c r="Y20" s="622"/>
      <c r="Z20" s="623"/>
      <c r="AA20" s="624"/>
      <c r="AB20" s="504"/>
      <c r="AC20" s="171">
        <v>0</v>
      </c>
      <c r="AD20" s="171">
        <v>100</v>
      </c>
      <c r="AE20" s="171">
        <f>+AC20/AD20</f>
        <v>0</v>
      </c>
      <c r="AF20" s="26" t="s">
        <v>502</v>
      </c>
      <c r="AG20" s="622"/>
      <c r="AH20" s="623"/>
      <c r="AI20" s="624"/>
      <c r="AJ20" s="504"/>
      <c r="AK20" s="194"/>
      <c r="AL20" s="171">
        <v>100</v>
      </c>
      <c r="AM20" s="194">
        <v>0</v>
      </c>
      <c r="AN20" s="197"/>
      <c r="AO20" s="622"/>
      <c r="AP20" s="623"/>
      <c r="AQ20" s="624"/>
      <c r="AR20" s="504"/>
      <c r="AS20" s="195">
        <v>0</v>
      </c>
      <c r="AT20" s="171">
        <v>100</v>
      </c>
      <c r="AU20" s="194">
        <v>0</v>
      </c>
      <c r="AV20" s="197" t="s">
        <v>503</v>
      </c>
      <c r="AW20" s="94"/>
      <c r="AX20" s="94"/>
      <c r="AY20" s="94"/>
      <c r="AZ20" s="94"/>
      <c r="BA20" s="94"/>
      <c r="BB20" s="94"/>
      <c r="BC20" s="94"/>
      <c r="BD20" s="94"/>
      <c r="BE20" s="94"/>
      <c r="BF20" s="94"/>
      <c r="BG20" s="94"/>
      <c r="BH20" s="94"/>
      <c r="BI20" s="94"/>
      <c r="BJ20" s="94"/>
      <c r="BK20" s="94"/>
      <c r="BL20" s="94"/>
      <c r="BM20" s="94"/>
      <c r="BN20" s="94"/>
      <c r="BO20" s="94"/>
      <c r="BP20" s="94"/>
      <c r="BQ20" s="94"/>
      <c r="BR20" s="94"/>
      <c r="BS20" s="94"/>
      <c r="BT20" s="94"/>
      <c r="BU20" s="94"/>
      <c r="BV20" s="94"/>
      <c r="BW20" s="94"/>
      <c r="BX20" s="94"/>
      <c r="BY20" s="94"/>
      <c r="BZ20" s="94"/>
    </row>
    <row r="21" spans="1:78" s="33" customFormat="1" ht="216" x14ac:dyDescent="0.25">
      <c r="A21" s="491"/>
      <c r="B21" s="491"/>
      <c r="C21" s="491"/>
      <c r="D21" s="491"/>
      <c r="E21" s="177" t="s">
        <v>47</v>
      </c>
      <c r="F21" s="177" t="s">
        <v>504</v>
      </c>
      <c r="G21" s="616"/>
      <c r="H21" s="617"/>
      <c r="I21" s="618"/>
      <c r="J21" s="506"/>
      <c r="K21" s="635"/>
      <c r="L21" s="177" t="s">
        <v>505</v>
      </c>
      <c r="M21" s="159" t="s">
        <v>506</v>
      </c>
      <c r="N21" s="196" t="s">
        <v>56</v>
      </c>
      <c r="O21" s="161">
        <v>0</v>
      </c>
      <c r="P21" s="162">
        <v>1</v>
      </c>
      <c r="Q21" s="155"/>
      <c r="R21" s="156"/>
      <c r="S21" s="156"/>
      <c r="T21" s="157"/>
      <c r="U21" s="157"/>
      <c r="V21" s="628"/>
      <c r="W21" s="626"/>
      <c r="X21" s="504"/>
      <c r="Y21" s="185">
        <v>0.08</v>
      </c>
      <c r="Z21" s="185">
        <v>1</v>
      </c>
      <c r="AA21" s="189">
        <v>0.08</v>
      </c>
      <c r="AB21" s="190" t="s">
        <v>507</v>
      </c>
      <c r="AC21" s="171"/>
      <c r="AD21" s="171"/>
      <c r="AE21" s="171"/>
      <c r="AF21" s="72"/>
      <c r="AG21" s="185">
        <v>0.15</v>
      </c>
      <c r="AH21" s="185">
        <v>1</v>
      </c>
      <c r="AI21" s="189">
        <v>0.15</v>
      </c>
      <c r="AJ21" s="190" t="s">
        <v>508</v>
      </c>
      <c r="AK21" s="171"/>
      <c r="AL21" s="171"/>
      <c r="AM21" s="171"/>
      <c r="AN21" s="72"/>
      <c r="AO21" s="185">
        <v>0.31</v>
      </c>
      <c r="AP21" s="185">
        <v>1</v>
      </c>
      <c r="AQ21" s="189">
        <v>0.31</v>
      </c>
      <c r="AR21" s="190" t="s">
        <v>509</v>
      </c>
      <c r="AS21" s="171"/>
      <c r="AT21" s="171"/>
      <c r="AU21" s="171"/>
      <c r="AV21" s="72"/>
      <c r="AW21" s="94"/>
      <c r="AX21" s="94"/>
      <c r="AY21" s="94"/>
      <c r="AZ21" s="94"/>
      <c r="BA21" s="94"/>
      <c r="BB21" s="94"/>
      <c r="BC21" s="94"/>
      <c r="BD21" s="94"/>
      <c r="BE21" s="94"/>
      <c r="BF21" s="94"/>
      <c r="BG21" s="94"/>
      <c r="BH21" s="94"/>
      <c r="BI21" s="94"/>
      <c r="BJ21" s="94"/>
      <c r="BK21" s="94"/>
      <c r="BL21" s="94"/>
      <c r="BM21" s="94"/>
      <c r="BN21" s="94"/>
      <c r="BO21" s="94"/>
      <c r="BP21" s="94"/>
      <c r="BQ21" s="94"/>
      <c r="BR21" s="94"/>
      <c r="BS21" s="94"/>
      <c r="BT21" s="94"/>
      <c r="BU21" s="94"/>
      <c r="BV21" s="94"/>
      <c r="BW21" s="94"/>
      <c r="BX21" s="94"/>
      <c r="BY21" s="94"/>
      <c r="BZ21" s="94"/>
    </row>
    <row r="22" spans="1:78" s="33" customFormat="1" ht="120" x14ac:dyDescent="0.25">
      <c r="A22" s="491"/>
      <c r="B22" s="491"/>
      <c r="C22" s="491"/>
      <c r="D22" s="491"/>
      <c r="E22" s="151" t="s">
        <v>47</v>
      </c>
      <c r="F22" s="150" t="s">
        <v>326</v>
      </c>
      <c r="G22" s="616"/>
      <c r="H22" s="617"/>
      <c r="I22" s="618"/>
      <c r="J22" s="506"/>
      <c r="K22" s="635"/>
      <c r="L22" s="150" t="s">
        <v>510</v>
      </c>
      <c r="M22" s="150" t="s">
        <v>511</v>
      </c>
      <c r="N22" s="151" t="s">
        <v>74</v>
      </c>
      <c r="O22" s="152">
        <v>0</v>
      </c>
      <c r="P22" s="154">
        <v>1</v>
      </c>
      <c r="Q22" s="150"/>
      <c r="R22" s="150"/>
      <c r="S22" s="150"/>
      <c r="T22" s="150"/>
      <c r="U22" s="150"/>
      <c r="V22" s="628"/>
      <c r="W22" s="626"/>
      <c r="X22" s="504"/>
      <c r="Y22" s="184">
        <v>0</v>
      </c>
      <c r="Z22" s="184">
        <v>1</v>
      </c>
      <c r="AA22" s="198">
        <v>0</v>
      </c>
      <c r="AB22" s="192" t="s">
        <v>512</v>
      </c>
      <c r="AC22" s="22"/>
      <c r="AD22" s="22"/>
      <c r="AE22" s="22"/>
      <c r="AF22" s="79"/>
      <c r="AG22" s="184">
        <v>0.33</v>
      </c>
      <c r="AH22" s="184">
        <v>1</v>
      </c>
      <c r="AI22" s="198">
        <v>0.33</v>
      </c>
      <c r="AJ22" s="192" t="s">
        <v>513</v>
      </c>
      <c r="AK22" s="22"/>
      <c r="AL22" s="22"/>
      <c r="AM22" s="22"/>
      <c r="AN22" s="79"/>
      <c r="AO22" s="184">
        <v>0.67</v>
      </c>
      <c r="AP22" s="184">
        <v>1</v>
      </c>
      <c r="AQ22" s="198">
        <v>0.67</v>
      </c>
      <c r="AR22" s="192" t="s">
        <v>514</v>
      </c>
      <c r="AS22" s="22"/>
      <c r="AT22" s="22"/>
      <c r="AU22" s="22"/>
      <c r="AV22" s="79"/>
      <c r="AW22" s="94"/>
      <c r="AX22" s="94"/>
      <c r="AY22" s="94"/>
      <c r="AZ22" s="94"/>
      <c r="BA22" s="94"/>
      <c r="BB22" s="94"/>
      <c r="BC22" s="94"/>
      <c r="BD22" s="94"/>
      <c r="BE22" s="94"/>
      <c r="BF22" s="94"/>
      <c r="BG22" s="94"/>
      <c r="BH22" s="94"/>
      <c r="BI22" s="94"/>
      <c r="BJ22" s="94"/>
      <c r="BK22" s="94"/>
      <c r="BL22" s="94"/>
      <c r="BM22" s="94"/>
      <c r="BN22" s="94"/>
      <c r="BO22" s="94"/>
      <c r="BP22" s="94"/>
      <c r="BQ22" s="94"/>
      <c r="BR22" s="94"/>
      <c r="BS22" s="94"/>
      <c r="BT22" s="94"/>
      <c r="BU22" s="94"/>
      <c r="BV22" s="94"/>
      <c r="BW22" s="94"/>
      <c r="BX22" s="94"/>
      <c r="BY22" s="94"/>
      <c r="BZ22" s="94"/>
    </row>
    <row r="23" spans="1:78" s="33" customFormat="1" ht="24" x14ac:dyDescent="0.25">
      <c r="A23" s="491"/>
      <c r="B23" s="491"/>
      <c r="C23" s="491"/>
      <c r="D23" s="611"/>
      <c r="E23" s="177" t="s">
        <v>71</v>
      </c>
      <c r="F23" s="177" t="s">
        <v>48</v>
      </c>
      <c r="G23" s="616"/>
      <c r="H23" s="617"/>
      <c r="I23" s="618"/>
      <c r="J23" s="506"/>
      <c r="K23" s="635"/>
      <c r="L23" s="636" t="s">
        <v>515</v>
      </c>
      <c r="M23" s="503" t="s">
        <v>516</v>
      </c>
      <c r="N23" s="637" t="s">
        <v>56</v>
      </c>
      <c r="O23" s="637">
        <v>0</v>
      </c>
      <c r="P23" s="638">
        <v>3</v>
      </c>
      <c r="Q23" s="150" t="s">
        <v>517</v>
      </c>
      <c r="R23" s="150" t="s">
        <v>518</v>
      </c>
      <c r="S23" s="151" t="s">
        <v>56</v>
      </c>
      <c r="T23" s="152">
        <v>0</v>
      </c>
      <c r="U23" s="153">
        <v>5</v>
      </c>
      <c r="V23" s="628"/>
      <c r="W23" s="626"/>
      <c r="X23" s="504"/>
      <c r="Y23" s="623">
        <v>0</v>
      </c>
      <c r="Z23" s="623">
        <v>3</v>
      </c>
      <c r="AA23" s="624">
        <v>0</v>
      </c>
      <c r="AB23" s="629" t="s">
        <v>519</v>
      </c>
      <c r="AC23" s="171">
        <v>0</v>
      </c>
      <c r="AD23" s="171">
        <v>5</v>
      </c>
      <c r="AE23" s="171">
        <v>0</v>
      </c>
      <c r="AF23" s="72" t="s">
        <v>520</v>
      </c>
      <c r="AG23" s="623">
        <v>0</v>
      </c>
      <c r="AH23" s="623">
        <v>3</v>
      </c>
      <c r="AI23" s="624">
        <v>0</v>
      </c>
      <c r="AJ23" s="629" t="s">
        <v>521</v>
      </c>
      <c r="AK23" s="171">
        <v>0</v>
      </c>
      <c r="AL23" s="171">
        <v>5</v>
      </c>
      <c r="AM23" s="171">
        <v>0</v>
      </c>
      <c r="AN23" s="72" t="s">
        <v>522</v>
      </c>
      <c r="AO23" s="623">
        <v>0</v>
      </c>
      <c r="AP23" s="623">
        <v>3</v>
      </c>
      <c r="AQ23" s="624">
        <v>0</v>
      </c>
      <c r="AR23" s="629" t="s">
        <v>523</v>
      </c>
      <c r="AS23" s="171">
        <v>0</v>
      </c>
      <c r="AT23" s="171">
        <v>5</v>
      </c>
      <c r="AU23" s="171">
        <v>0</v>
      </c>
      <c r="AV23" s="72" t="s">
        <v>522</v>
      </c>
      <c r="AW23" s="94"/>
      <c r="AX23" s="94"/>
      <c r="AY23" s="94"/>
      <c r="AZ23" s="94"/>
      <c r="BA23" s="94"/>
      <c r="BB23" s="94"/>
      <c r="BC23" s="94"/>
      <c r="BD23" s="94"/>
      <c r="BE23" s="94"/>
      <c r="BF23" s="94"/>
      <c r="BG23" s="94"/>
      <c r="BH23" s="94"/>
      <c r="BI23" s="94"/>
      <c r="BJ23" s="94"/>
      <c r="BK23" s="94"/>
      <c r="BL23" s="94"/>
      <c r="BM23" s="94"/>
      <c r="BN23" s="94"/>
      <c r="BO23" s="94"/>
      <c r="BP23" s="94"/>
      <c r="BQ23" s="94"/>
      <c r="BR23" s="94"/>
      <c r="BS23" s="94"/>
      <c r="BT23" s="94"/>
      <c r="BU23" s="94"/>
      <c r="BV23" s="94"/>
      <c r="BW23" s="94"/>
      <c r="BX23" s="94"/>
      <c r="BY23" s="94"/>
      <c r="BZ23" s="94"/>
    </row>
    <row r="24" spans="1:78" s="22" customFormat="1" ht="360" x14ac:dyDescent="0.25">
      <c r="A24" s="491"/>
      <c r="B24" s="491"/>
      <c r="C24" s="491"/>
      <c r="D24" s="490" t="s">
        <v>306</v>
      </c>
      <c r="E24" s="151" t="s">
        <v>524</v>
      </c>
      <c r="F24" s="150" t="s">
        <v>525</v>
      </c>
      <c r="G24" s="616"/>
      <c r="H24" s="617"/>
      <c r="I24" s="618"/>
      <c r="J24" s="506"/>
      <c r="K24" s="635"/>
      <c r="L24" s="566"/>
      <c r="M24" s="504"/>
      <c r="N24" s="623"/>
      <c r="O24" s="623"/>
      <c r="P24" s="639"/>
      <c r="Q24" s="177" t="s">
        <v>526</v>
      </c>
      <c r="R24" s="159" t="s">
        <v>527</v>
      </c>
      <c r="S24" s="196" t="s">
        <v>56</v>
      </c>
      <c r="T24" s="161">
        <v>0</v>
      </c>
      <c r="U24" s="199">
        <v>3</v>
      </c>
      <c r="V24" s="628"/>
      <c r="W24" s="626"/>
      <c r="X24" s="504"/>
      <c r="Y24" s="623"/>
      <c r="Z24" s="623"/>
      <c r="AA24" s="624"/>
      <c r="AB24" s="629"/>
      <c r="AC24" s="167">
        <v>0</v>
      </c>
      <c r="AD24" s="167">
        <v>3</v>
      </c>
      <c r="AE24" s="167">
        <v>0</v>
      </c>
      <c r="AF24" s="79" t="s">
        <v>519</v>
      </c>
      <c r="AG24" s="623"/>
      <c r="AH24" s="623"/>
      <c r="AI24" s="624"/>
      <c r="AJ24" s="629"/>
      <c r="AK24" s="167">
        <v>0</v>
      </c>
      <c r="AL24" s="167">
        <v>3</v>
      </c>
      <c r="AM24" s="167">
        <v>0</v>
      </c>
      <c r="AN24" s="79" t="s">
        <v>521</v>
      </c>
      <c r="AO24" s="623"/>
      <c r="AP24" s="623"/>
      <c r="AQ24" s="624"/>
      <c r="AR24" s="629"/>
      <c r="AS24" s="167">
        <v>0</v>
      </c>
      <c r="AT24" s="167">
        <v>3</v>
      </c>
      <c r="AU24" s="167">
        <v>0</v>
      </c>
      <c r="AV24" s="79" t="s">
        <v>523</v>
      </c>
      <c r="AW24" s="94"/>
      <c r="AX24" s="94"/>
      <c r="AY24" s="94"/>
      <c r="AZ24" s="94"/>
      <c r="BA24" s="94"/>
      <c r="BB24" s="94"/>
      <c r="BC24" s="94"/>
      <c r="BD24" s="94"/>
      <c r="BE24" s="94"/>
      <c r="BF24" s="94"/>
      <c r="BG24" s="94"/>
      <c r="BH24" s="94"/>
      <c r="BI24" s="94"/>
      <c r="BJ24" s="94"/>
      <c r="BK24" s="94"/>
      <c r="BL24" s="94"/>
      <c r="BM24" s="94"/>
      <c r="BN24" s="94"/>
      <c r="BO24" s="94"/>
      <c r="BP24" s="94"/>
      <c r="BQ24" s="94"/>
      <c r="BR24" s="94"/>
      <c r="BS24" s="94"/>
      <c r="BT24" s="94"/>
      <c r="BU24" s="94"/>
      <c r="BV24" s="94"/>
      <c r="BW24" s="94"/>
      <c r="BX24" s="94"/>
      <c r="BY24" s="94"/>
      <c r="BZ24" s="94"/>
    </row>
    <row r="25" spans="1:78" s="33" customFormat="1" ht="288" x14ac:dyDescent="0.25">
      <c r="A25" s="491"/>
      <c r="B25" s="491"/>
      <c r="C25" s="491"/>
      <c r="D25" s="491"/>
      <c r="E25" s="177" t="s">
        <v>71</v>
      </c>
      <c r="F25" s="177" t="s">
        <v>48</v>
      </c>
      <c r="G25" s="616"/>
      <c r="H25" s="617"/>
      <c r="I25" s="618"/>
      <c r="J25" s="506"/>
      <c r="K25" s="635"/>
      <c r="L25" s="566"/>
      <c r="M25" s="504"/>
      <c r="N25" s="623"/>
      <c r="O25" s="623"/>
      <c r="P25" s="639"/>
      <c r="Q25" s="150" t="s">
        <v>528</v>
      </c>
      <c r="R25" s="150" t="s">
        <v>529</v>
      </c>
      <c r="S25" s="151" t="s">
        <v>56</v>
      </c>
      <c r="T25" s="152">
        <v>0</v>
      </c>
      <c r="U25" s="153">
        <v>3</v>
      </c>
      <c r="V25" s="628"/>
      <c r="W25" s="626"/>
      <c r="X25" s="504"/>
      <c r="Y25" s="623"/>
      <c r="Z25" s="623"/>
      <c r="AA25" s="624"/>
      <c r="AB25" s="629"/>
      <c r="AC25" s="33">
        <v>0</v>
      </c>
      <c r="AD25" s="200">
        <v>3</v>
      </c>
      <c r="AE25" s="33">
        <v>0</v>
      </c>
      <c r="AF25" s="72" t="s">
        <v>530</v>
      </c>
      <c r="AG25" s="623"/>
      <c r="AH25" s="623"/>
      <c r="AI25" s="624"/>
      <c r="AJ25" s="629"/>
      <c r="AK25" s="33">
        <v>0</v>
      </c>
      <c r="AL25" s="200">
        <v>3</v>
      </c>
      <c r="AM25" s="33">
        <v>0</v>
      </c>
      <c r="AN25" s="72" t="s">
        <v>531</v>
      </c>
      <c r="AO25" s="623"/>
      <c r="AP25" s="623"/>
      <c r="AQ25" s="624"/>
      <c r="AR25" s="629"/>
      <c r="AS25" s="33">
        <v>0</v>
      </c>
      <c r="AT25" s="200">
        <v>3</v>
      </c>
      <c r="AU25" s="33">
        <v>0</v>
      </c>
      <c r="AV25" s="72" t="s">
        <v>532</v>
      </c>
      <c r="AW25" s="94"/>
      <c r="AX25" s="94"/>
      <c r="AY25" s="94"/>
      <c r="AZ25" s="94"/>
      <c r="BA25" s="94"/>
      <c r="BB25" s="94"/>
      <c r="BC25" s="94"/>
      <c r="BD25" s="94"/>
      <c r="BE25" s="94"/>
      <c r="BF25" s="94"/>
      <c r="BG25" s="94"/>
      <c r="BH25" s="94"/>
      <c r="BI25" s="94"/>
      <c r="BJ25" s="94"/>
      <c r="BK25" s="94"/>
      <c r="BL25" s="94"/>
      <c r="BM25" s="94"/>
      <c r="BN25" s="94"/>
      <c r="BO25" s="94"/>
      <c r="BP25" s="94"/>
      <c r="BQ25" s="94"/>
      <c r="BR25" s="94"/>
      <c r="BS25" s="94"/>
      <c r="BT25" s="94"/>
      <c r="BU25" s="94"/>
      <c r="BV25" s="94"/>
      <c r="BW25" s="94"/>
      <c r="BX25" s="94"/>
      <c r="BY25" s="94"/>
      <c r="BZ25" s="94"/>
    </row>
    <row r="26" spans="1:78" ht="12" x14ac:dyDescent="0.25">
      <c r="P26" s="201"/>
    </row>
    <row r="27" spans="1:78" ht="51.75" customHeight="1" x14ac:dyDescent="0.25">
      <c r="AO27" s="388" t="s">
        <v>433</v>
      </c>
      <c r="AP27" s="388"/>
      <c r="AQ27" s="58">
        <v>0.24</v>
      </c>
      <c r="AS27" s="388" t="s">
        <v>434</v>
      </c>
      <c r="AT27" s="388"/>
      <c r="AU27" s="58">
        <v>0.13800000000000001</v>
      </c>
    </row>
  </sheetData>
  <sheetProtection algorithmName="SHA-512" hashValue="Pt4IA66Q8RFyrLvIjKp6oXuK/VXoZfA0K+oJzo4eNZGSrUbbIrrQItv1UvMw7Ffg078fL4X3IRiFy5FvX8PjMQ==" saltValue="A58nj6PbkXpXdpdzdYxy0w==" spinCount="100000" sheet="1" objects="1" scenarios="1" selectLockedCells="1" selectUnlockedCells="1"/>
  <mergeCells count="109">
    <mergeCell ref="L23:L25"/>
    <mergeCell ref="M23:M25"/>
    <mergeCell ref="N23:N25"/>
    <mergeCell ref="O23:O25"/>
    <mergeCell ref="P23:P25"/>
    <mergeCell ref="Y23:Y25"/>
    <mergeCell ref="Z23:Z25"/>
    <mergeCell ref="AA23:AA25"/>
    <mergeCell ref="AG19:AG20"/>
    <mergeCell ref="L19:L20"/>
    <mergeCell ref="M19:M20"/>
    <mergeCell ref="N19:N20"/>
    <mergeCell ref="AR23:AR25"/>
    <mergeCell ref="AJ9:AJ10"/>
    <mergeCell ref="AO9:AO10"/>
    <mergeCell ref="AP9:AP10"/>
    <mergeCell ref="AQ9:AQ10"/>
    <mergeCell ref="AR9:AR10"/>
    <mergeCell ref="AH23:AH25"/>
    <mergeCell ref="AI23:AI25"/>
    <mergeCell ref="AJ23:AJ25"/>
    <mergeCell ref="AO23:AO25"/>
    <mergeCell ref="AQ19:AQ20"/>
    <mergeCell ref="AR19:AR20"/>
    <mergeCell ref="AH19:AH20"/>
    <mergeCell ref="AI19:AI20"/>
    <mergeCell ref="AJ19:AJ20"/>
    <mergeCell ref="AO19:AO20"/>
    <mergeCell ref="AP19:AP20"/>
    <mergeCell ref="AR7:AR8"/>
    <mergeCell ref="I9:I10"/>
    <mergeCell ref="L9:L10"/>
    <mergeCell ref="M9:M10"/>
    <mergeCell ref="N9:N10"/>
    <mergeCell ref="O9:O10"/>
    <mergeCell ref="P9:P10"/>
    <mergeCell ref="AG9:AG10"/>
    <mergeCell ref="AH9:AH10"/>
    <mergeCell ref="AI9:AI10"/>
    <mergeCell ref="AH7:AH8"/>
    <mergeCell ref="AI7:AI8"/>
    <mergeCell ref="AJ7:AJ8"/>
    <mergeCell ref="AO7:AO8"/>
    <mergeCell ref="AP7:AP8"/>
    <mergeCell ref="AQ7:AQ8"/>
    <mergeCell ref="X7:X25"/>
    <mergeCell ref="Y7:Y8"/>
    <mergeCell ref="L7:L8"/>
    <mergeCell ref="I13:I17"/>
    <mergeCell ref="O19:O20"/>
    <mergeCell ref="P19:P20"/>
    <mergeCell ref="AP23:AP25"/>
    <mergeCell ref="AQ23:AQ25"/>
    <mergeCell ref="Z7:Z8"/>
    <mergeCell ref="AA7:AA8"/>
    <mergeCell ref="AB7:AB8"/>
    <mergeCell ref="AG7:AG8"/>
    <mergeCell ref="Y19:Y20"/>
    <mergeCell ref="Z19:Z20"/>
    <mergeCell ref="AA19:AA20"/>
    <mergeCell ref="AB19:AB20"/>
    <mergeCell ref="M7:M8"/>
    <mergeCell ref="N7:N8"/>
    <mergeCell ref="O7:O8"/>
    <mergeCell ref="P7:P8"/>
    <mergeCell ref="V7:V18"/>
    <mergeCell ref="W7:W25"/>
    <mergeCell ref="V19:V25"/>
    <mergeCell ref="AB23:AB25"/>
    <mergeCell ref="AG23:AG25"/>
    <mergeCell ref="C7:C25"/>
    <mergeCell ref="D7:D23"/>
    <mergeCell ref="E7:E17"/>
    <mergeCell ref="F7:F17"/>
    <mergeCell ref="G7:G18"/>
    <mergeCell ref="H7:H18"/>
    <mergeCell ref="I7:I8"/>
    <mergeCell ref="J7:J25"/>
    <mergeCell ref="K7:K18"/>
    <mergeCell ref="D24:D25"/>
    <mergeCell ref="G19:G25"/>
    <mergeCell ref="H19:H25"/>
    <mergeCell ref="I19:I25"/>
    <mergeCell ref="I11:I12"/>
    <mergeCell ref="K19:K25"/>
    <mergeCell ref="C1:X3"/>
    <mergeCell ref="A4:K4"/>
    <mergeCell ref="L4:P5"/>
    <mergeCell ref="Q4:U5"/>
    <mergeCell ref="V4:W5"/>
    <mergeCell ref="X4:X5"/>
    <mergeCell ref="AS27:AT27"/>
    <mergeCell ref="AO27:AP27"/>
    <mergeCell ref="Y4:AF4"/>
    <mergeCell ref="AG4:AN4"/>
    <mergeCell ref="AO4:AV4"/>
    <mergeCell ref="A5:C5"/>
    <mergeCell ref="E5:F5"/>
    <mergeCell ref="G5:I5"/>
    <mergeCell ref="J5:J6"/>
    <mergeCell ref="K5:K6"/>
    <mergeCell ref="Y5:AB5"/>
    <mergeCell ref="AC5:AF5"/>
    <mergeCell ref="AG5:AJ5"/>
    <mergeCell ref="AK5:AN5"/>
    <mergeCell ref="AO5:AR5"/>
    <mergeCell ref="AS5:AV5"/>
    <mergeCell ref="A7:A25"/>
    <mergeCell ref="B7:B2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CD8BB-D26A-4523-9467-5230FC49F0E2}">
  <sheetPr>
    <tabColor theme="4"/>
  </sheetPr>
  <dimension ref="A1:BM117"/>
  <sheetViews>
    <sheetView topLeftCell="AN3" zoomScale="96" zoomScaleNormal="96" workbookViewId="0">
      <selection activeCell="AJ8" sqref="AJ8"/>
    </sheetView>
  </sheetViews>
  <sheetFormatPr baseColWidth="10" defaultRowHeight="15" x14ac:dyDescent="0.25"/>
  <cols>
    <col min="1" max="1" width="21.140625" style="260" customWidth="1"/>
    <col min="2" max="2" width="17.85546875" style="260" customWidth="1"/>
    <col min="3" max="3" width="24.140625" style="260" customWidth="1"/>
    <col min="4" max="4" width="26.42578125" style="260" customWidth="1"/>
    <col min="5" max="5" width="18.140625" style="260" customWidth="1"/>
    <col min="6" max="6" width="20.5703125" style="260" customWidth="1"/>
    <col min="7" max="7" width="14" style="260" customWidth="1"/>
    <col min="8" max="8" width="16.5703125" style="260" customWidth="1"/>
    <col min="9" max="9" width="15.140625" style="260" customWidth="1"/>
    <col min="10" max="10" width="15.85546875" style="260" customWidth="1"/>
    <col min="11" max="11" width="16.42578125" style="260" customWidth="1"/>
    <col min="12" max="12" width="21.85546875" style="260" customWidth="1"/>
    <col min="13" max="13" width="23" style="260" customWidth="1"/>
    <col min="14" max="14" width="11.42578125" style="260"/>
    <col min="15" max="15" width="13.5703125" style="260" customWidth="1"/>
    <col min="16" max="16" width="11.42578125" style="260"/>
    <col min="17" max="17" width="20.28515625" style="260" customWidth="1"/>
    <col min="18" max="18" width="20.140625" style="260" customWidth="1"/>
    <col min="19" max="19" width="12.28515625" style="260" customWidth="1"/>
    <col min="20" max="20" width="11.42578125" style="260"/>
    <col min="21" max="21" width="11.5703125" style="260" customWidth="1"/>
    <col min="22" max="22" width="17.42578125" style="261" bestFit="1" customWidth="1"/>
    <col min="23" max="23" width="16.7109375" style="261" customWidth="1"/>
    <col min="24" max="24" width="16.7109375" style="260" customWidth="1"/>
    <col min="25" max="25" width="16.28515625" style="260" customWidth="1"/>
    <col min="26" max="26" width="11.42578125" style="260"/>
    <col min="27" max="27" width="16" style="260" customWidth="1"/>
    <col min="28" max="28" width="40.5703125" style="260" customWidth="1"/>
    <col min="29" max="29" width="14.5703125" style="260" customWidth="1"/>
    <col min="30" max="30" width="11.42578125" style="260"/>
    <col min="31" max="31" width="13" style="260" customWidth="1"/>
    <col min="32" max="32" width="32.85546875" style="260" customWidth="1"/>
    <col min="33" max="33" width="18.140625" style="260" bestFit="1" customWidth="1"/>
    <col min="34" max="34" width="11.42578125" style="260"/>
    <col min="35" max="35" width="16" style="260" customWidth="1"/>
    <col min="36" max="36" width="40.5703125" style="260" customWidth="1"/>
    <col min="37" max="37" width="17.140625" style="260" bestFit="1" customWidth="1"/>
    <col min="38" max="38" width="11.42578125" style="260"/>
    <col min="39" max="39" width="13" style="260" customWidth="1"/>
    <col min="40" max="40" width="32.85546875" style="260" customWidth="1"/>
    <col min="41" max="41" width="18.140625" style="260" bestFit="1" customWidth="1"/>
    <col min="42" max="42" width="11.42578125" style="260"/>
    <col min="43" max="43" width="16" style="260" customWidth="1"/>
    <col min="44" max="44" width="40.5703125" style="260" customWidth="1"/>
    <col min="45" max="45" width="17.140625" style="260" bestFit="1" customWidth="1"/>
    <col min="46" max="46" width="11.42578125" style="260"/>
    <col min="47" max="47" width="13" style="260" customWidth="1"/>
    <col min="48" max="48" width="32.85546875" style="260" customWidth="1"/>
    <col min="49" max="65" width="11.42578125" style="285"/>
    <col min="66" max="16384" width="11.42578125" style="260"/>
  </cols>
  <sheetData>
    <row r="1" spans="1:65" s="1" customFormat="1" ht="15.75" x14ac:dyDescent="0.25">
      <c r="C1" s="413" t="s">
        <v>0</v>
      </c>
      <c r="D1" s="413"/>
      <c r="E1" s="413"/>
      <c r="F1" s="413"/>
      <c r="G1" s="413"/>
      <c r="H1" s="413"/>
      <c r="I1" s="413"/>
      <c r="J1" s="413"/>
      <c r="K1" s="413"/>
      <c r="L1" s="413"/>
      <c r="M1" s="413"/>
      <c r="N1" s="413"/>
      <c r="O1" s="413"/>
      <c r="P1" s="413"/>
      <c r="Q1" s="413"/>
      <c r="R1" s="413"/>
      <c r="S1" s="413"/>
      <c r="T1" s="413"/>
      <c r="U1" s="413"/>
      <c r="V1" s="413"/>
      <c r="W1" s="413"/>
      <c r="X1" s="413"/>
      <c r="AE1" s="2"/>
      <c r="AF1" s="3"/>
      <c r="AM1" s="2"/>
      <c r="AN1" s="3"/>
      <c r="AU1" s="4" t="s">
        <v>1</v>
      </c>
      <c r="AV1" s="5">
        <v>43458</v>
      </c>
    </row>
    <row r="2" spans="1:65" s="1" customFormat="1" ht="30" customHeight="1" x14ac:dyDescent="0.25">
      <c r="C2" s="413"/>
      <c r="D2" s="413"/>
      <c r="E2" s="413"/>
      <c r="F2" s="413"/>
      <c r="G2" s="413"/>
      <c r="H2" s="413"/>
      <c r="I2" s="413"/>
      <c r="J2" s="413"/>
      <c r="K2" s="413"/>
      <c r="L2" s="413"/>
      <c r="M2" s="413"/>
      <c r="N2" s="413"/>
      <c r="O2" s="413"/>
      <c r="P2" s="413"/>
      <c r="Q2" s="413"/>
      <c r="R2" s="413"/>
      <c r="S2" s="413"/>
      <c r="T2" s="413"/>
      <c r="U2" s="413"/>
      <c r="V2" s="413"/>
      <c r="W2" s="413"/>
      <c r="X2" s="413"/>
      <c r="AE2" s="2"/>
      <c r="AF2" s="2"/>
      <c r="AM2" s="2"/>
      <c r="AN2" s="2"/>
      <c r="AU2" s="4" t="s">
        <v>2</v>
      </c>
      <c r="AV2" s="4">
        <v>5</v>
      </c>
    </row>
    <row r="3" spans="1:65" s="1" customFormat="1" ht="29.25" customHeight="1" x14ac:dyDescent="0.25">
      <c r="C3" s="413"/>
      <c r="D3" s="413"/>
      <c r="E3" s="413"/>
      <c r="F3" s="413"/>
      <c r="G3" s="413"/>
      <c r="H3" s="413"/>
      <c r="I3" s="413"/>
      <c r="J3" s="413"/>
      <c r="K3" s="413"/>
      <c r="L3" s="413"/>
      <c r="M3" s="413"/>
      <c r="N3" s="413"/>
      <c r="O3" s="413"/>
      <c r="P3" s="413"/>
      <c r="Q3" s="413"/>
      <c r="R3" s="413"/>
      <c r="S3" s="413"/>
      <c r="T3" s="413"/>
      <c r="U3" s="413"/>
      <c r="V3" s="413"/>
      <c r="W3" s="413"/>
      <c r="X3" s="413"/>
      <c r="AE3" s="2"/>
      <c r="AF3" s="2"/>
      <c r="AM3" s="2"/>
      <c r="AN3" s="2"/>
      <c r="AU3" s="4" t="s">
        <v>3</v>
      </c>
      <c r="AV3" s="4" t="s">
        <v>4</v>
      </c>
    </row>
    <row r="4" spans="1:65" s="203" customFormat="1" x14ac:dyDescent="0.25">
      <c r="A4" s="414" t="s">
        <v>5</v>
      </c>
      <c r="B4" s="415"/>
      <c r="C4" s="415"/>
      <c r="D4" s="415"/>
      <c r="E4" s="415"/>
      <c r="F4" s="415"/>
      <c r="G4" s="415"/>
      <c r="H4" s="415"/>
      <c r="I4" s="415"/>
      <c r="J4" s="415"/>
      <c r="K4" s="416"/>
      <c r="L4" s="417" t="s">
        <v>6</v>
      </c>
      <c r="M4" s="418"/>
      <c r="N4" s="418"/>
      <c r="O4" s="418"/>
      <c r="P4" s="419"/>
      <c r="Q4" s="417" t="s">
        <v>7</v>
      </c>
      <c r="R4" s="418"/>
      <c r="S4" s="418"/>
      <c r="T4" s="418"/>
      <c r="U4" s="419"/>
      <c r="V4" s="420" t="s">
        <v>8</v>
      </c>
      <c r="W4" s="421"/>
      <c r="X4" s="424" t="s">
        <v>9</v>
      </c>
      <c r="Y4" s="403" t="s">
        <v>10</v>
      </c>
      <c r="Z4" s="404"/>
      <c r="AA4" s="404"/>
      <c r="AB4" s="404"/>
      <c r="AC4" s="404"/>
      <c r="AD4" s="404"/>
      <c r="AE4" s="404"/>
      <c r="AF4" s="405"/>
      <c r="AG4" s="403" t="s">
        <v>11</v>
      </c>
      <c r="AH4" s="404"/>
      <c r="AI4" s="404"/>
      <c r="AJ4" s="404"/>
      <c r="AK4" s="404"/>
      <c r="AL4" s="404"/>
      <c r="AM4" s="404"/>
      <c r="AN4" s="405"/>
      <c r="AO4" s="403" t="s">
        <v>12</v>
      </c>
      <c r="AP4" s="404"/>
      <c r="AQ4" s="404"/>
      <c r="AR4" s="404"/>
      <c r="AS4" s="404"/>
      <c r="AT4" s="404"/>
      <c r="AU4" s="404"/>
      <c r="AV4" s="405"/>
      <c r="AW4" s="277"/>
      <c r="AX4" s="277"/>
      <c r="AY4" s="277"/>
      <c r="AZ4" s="277"/>
      <c r="BA4" s="277"/>
      <c r="BB4" s="277"/>
      <c r="BC4" s="277"/>
      <c r="BD4" s="277"/>
      <c r="BE4" s="277"/>
      <c r="BF4" s="277"/>
      <c r="BG4" s="277"/>
      <c r="BH4" s="277"/>
      <c r="BI4" s="277"/>
      <c r="BJ4" s="277"/>
      <c r="BK4" s="277"/>
      <c r="BL4" s="277"/>
      <c r="BM4" s="277"/>
    </row>
    <row r="5" spans="1:65" s="203" customFormat="1" ht="30" x14ac:dyDescent="0.25">
      <c r="A5" s="406" t="s">
        <v>13</v>
      </c>
      <c r="B5" s="407"/>
      <c r="C5" s="408"/>
      <c r="D5" s="205" t="s">
        <v>14</v>
      </c>
      <c r="E5" s="406" t="s">
        <v>15</v>
      </c>
      <c r="F5" s="408"/>
      <c r="G5" s="406" t="s">
        <v>16</v>
      </c>
      <c r="H5" s="407"/>
      <c r="I5" s="408"/>
      <c r="J5" s="409" t="s">
        <v>17</v>
      </c>
      <c r="K5" s="409" t="s">
        <v>18</v>
      </c>
      <c r="L5" s="403"/>
      <c r="M5" s="404"/>
      <c r="N5" s="404"/>
      <c r="O5" s="404"/>
      <c r="P5" s="405"/>
      <c r="Q5" s="403"/>
      <c r="R5" s="404"/>
      <c r="S5" s="404"/>
      <c r="T5" s="404"/>
      <c r="U5" s="405"/>
      <c r="V5" s="422"/>
      <c r="W5" s="423"/>
      <c r="X5" s="425"/>
      <c r="Y5" s="406" t="s">
        <v>19</v>
      </c>
      <c r="Z5" s="407"/>
      <c r="AA5" s="407"/>
      <c r="AB5" s="411"/>
      <c r="AC5" s="412" t="s">
        <v>20</v>
      </c>
      <c r="AD5" s="407"/>
      <c r="AE5" s="407"/>
      <c r="AF5" s="408"/>
      <c r="AG5" s="406" t="s">
        <v>19</v>
      </c>
      <c r="AH5" s="407"/>
      <c r="AI5" s="407"/>
      <c r="AJ5" s="411"/>
      <c r="AK5" s="412" t="s">
        <v>20</v>
      </c>
      <c r="AL5" s="407"/>
      <c r="AM5" s="407"/>
      <c r="AN5" s="408"/>
      <c r="AO5" s="406" t="s">
        <v>19</v>
      </c>
      <c r="AP5" s="407"/>
      <c r="AQ5" s="407"/>
      <c r="AR5" s="411"/>
      <c r="AS5" s="412" t="s">
        <v>20</v>
      </c>
      <c r="AT5" s="407"/>
      <c r="AU5" s="407"/>
      <c r="AV5" s="408"/>
      <c r="AW5" s="277"/>
      <c r="AX5" s="277"/>
      <c r="AY5" s="277"/>
      <c r="AZ5" s="277"/>
      <c r="BA5" s="277"/>
      <c r="BB5" s="277"/>
      <c r="BC5" s="277"/>
      <c r="BD5" s="277"/>
      <c r="BE5" s="277"/>
      <c r="BF5" s="277"/>
      <c r="BG5" s="277"/>
      <c r="BH5" s="277"/>
      <c r="BI5" s="277"/>
      <c r="BJ5" s="277"/>
      <c r="BK5" s="277"/>
      <c r="BL5" s="277"/>
      <c r="BM5" s="277"/>
    </row>
    <row r="6" spans="1:65" s="203" customFormat="1" ht="45" x14ac:dyDescent="0.25">
      <c r="A6" s="247" t="s">
        <v>21</v>
      </c>
      <c r="B6" s="247" t="s">
        <v>22</v>
      </c>
      <c r="C6" s="247" t="s">
        <v>23</v>
      </c>
      <c r="D6" s="247" t="s">
        <v>24</v>
      </c>
      <c r="E6" s="247" t="s">
        <v>25</v>
      </c>
      <c r="F6" s="247" t="s">
        <v>26</v>
      </c>
      <c r="G6" s="247" t="s">
        <v>27</v>
      </c>
      <c r="H6" s="247" t="s">
        <v>28</v>
      </c>
      <c r="I6" s="247" t="s">
        <v>29</v>
      </c>
      <c r="J6" s="410"/>
      <c r="K6" s="410"/>
      <c r="L6" s="247" t="s">
        <v>6</v>
      </c>
      <c r="M6" s="247" t="s">
        <v>30</v>
      </c>
      <c r="N6" s="247" t="s">
        <v>31</v>
      </c>
      <c r="O6" s="247" t="s">
        <v>32</v>
      </c>
      <c r="P6" s="247" t="s">
        <v>33</v>
      </c>
      <c r="Q6" s="247" t="s">
        <v>7</v>
      </c>
      <c r="R6" s="247" t="s">
        <v>34</v>
      </c>
      <c r="S6" s="247" t="s">
        <v>31</v>
      </c>
      <c r="T6" s="247" t="s">
        <v>32</v>
      </c>
      <c r="U6" s="247" t="s">
        <v>35</v>
      </c>
      <c r="V6" s="259" t="s">
        <v>36</v>
      </c>
      <c r="W6" s="259" t="s">
        <v>37</v>
      </c>
      <c r="X6" s="247" t="s">
        <v>38</v>
      </c>
      <c r="Y6" s="247" t="s">
        <v>39</v>
      </c>
      <c r="Z6" s="247" t="s">
        <v>40</v>
      </c>
      <c r="AA6" s="247" t="s">
        <v>41</v>
      </c>
      <c r="AB6" s="247" t="s">
        <v>42</v>
      </c>
      <c r="AC6" s="247" t="s">
        <v>39</v>
      </c>
      <c r="AD6" s="247" t="s">
        <v>40</v>
      </c>
      <c r="AE6" s="247" t="s">
        <v>41</v>
      </c>
      <c r="AF6" s="247" t="s">
        <v>42</v>
      </c>
      <c r="AG6" s="247" t="s">
        <v>39</v>
      </c>
      <c r="AH6" s="247" t="s">
        <v>40</v>
      </c>
      <c r="AI6" s="247" t="s">
        <v>41</v>
      </c>
      <c r="AJ6" s="247" t="s">
        <v>42</v>
      </c>
      <c r="AK6" s="247" t="s">
        <v>39</v>
      </c>
      <c r="AL6" s="247" t="s">
        <v>40</v>
      </c>
      <c r="AM6" s="247" t="s">
        <v>41</v>
      </c>
      <c r="AN6" s="247" t="s">
        <v>42</v>
      </c>
      <c r="AO6" s="247" t="s">
        <v>39</v>
      </c>
      <c r="AP6" s="247" t="s">
        <v>40</v>
      </c>
      <c r="AQ6" s="247" t="s">
        <v>41</v>
      </c>
      <c r="AR6" s="247" t="s">
        <v>42</v>
      </c>
      <c r="AS6" s="247" t="s">
        <v>39</v>
      </c>
      <c r="AT6" s="247" t="s">
        <v>40</v>
      </c>
      <c r="AU6" s="247" t="s">
        <v>41</v>
      </c>
      <c r="AV6" s="247" t="s">
        <v>42</v>
      </c>
      <c r="AW6" s="277"/>
      <c r="AX6" s="277"/>
      <c r="AY6" s="277"/>
      <c r="AZ6" s="277"/>
      <c r="BA6" s="277"/>
      <c r="BB6" s="277"/>
      <c r="BC6" s="277"/>
      <c r="BD6" s="277"/>
      <c r="BE6" s="277"/>
      <c r="BF6" s="277"/>
      <c r="BG6" s="277"/>
      <c r="BH6" s="277"/>
      <c r="BI6" s="277"/>
      <c r="BJ6" s="277"/>
      <c r="BK6" s="277"/>
      <c r="BL6" s="277"/>
      <c r="BM6" s="277"/>
    </row>
    <row r="7" spans="1:65" s="263" customFormat="1" ht="147" customHeight="1" x14ac:dyDescent="0.25">
      <c r="A7" s="507" t="s">
        <v>43</v>
      </c>
      <c r="B7" s="507" t="s">
        <v>44</v>
      </c>
      <c r="C7" s="507" t="s">
        <v>45</v>
      </c>
      <c r="D7" s="509" t="s">
        <v>540</v>
      </c>
      <c r="E7" s="509" t="s">
        <v>47</v>
      </c>
      <c r="F7" s="509" t="s">
        <v>724</v>
      </c>
      <c r="G7" s="509" t="s">
        <v>629</v>
      </c>
      <c r="H7" s="509" t="s">
        <v>725</v>
      </c>
      <c r="I7" s="509" t="s">
        <v>590</v>
      </c>
      <c r="J7" s="505" t="s">
        <v>726</v>
      </c>
      <c r="K7" s="503" t="s">
        <v>725</v>
      </c>
      <c r="L7" s="80" t="s">
        <v>727</v>
      </c>
      <c r="M7" s="80" t="s">
        <v>728</v>
      </c>
      <c r="N7" s="80" t="s">
        <v>56</v>
      </c>
      <c r="O7" s="80"/>
      <c r="P7" s="80">
        <v>1</v>
      </c>
      <c r="Q7" s="253"/>
      <c r="R7" s="253"/>
      <c r="S7" s="253"/>
      <c r="T7" s="253"/>
      <c r="U7" s="253"/>
      <c r="V7" s="288">
        <v>973954634</v>
      </c>
      <c r="W7" s="655">
        <v>45317466258</v>
      </c>
      <c r="X7" s="503" t="s">
        <v>729</v>
      </c>
      <c r="Y7" s="81">
        <v>0</v>
      </c>
      <c r="Z7" s="289">
        <v>1</v>
      </c>
      <c r="AA7" s="81">
        <v>0</v>
      </c>
      <c r="AB7" s="80" t="s">
        <v>730</v>
      </c>
      <c r="AC7" s="253"/>
      <c r="AD7" s="253"/>
      <c r="AE7" s="253"/>
      <c r="AF7" s="253"/>
      <c r="AG7" s="289">
        <v>0</v>
      </c>
      <c r="AH7" s="289">
        <v>1</v>
      </c>
      <c r="AI7" s="274">
        <v>0</v>
      </c>
      <c r="AJ7" s="289" t="s">
        <v>730</v>
      </c>
      <c r="AK7" s="253"/>
      <c r="AL7" s="253"/>
      <c r="AM7" s="253"/>
      <c r="AN7" s="253"/>
      <c r="AO7" s="289">
        <v>0</v>
      </c>
      <c r="AP7" s="289">
        <v>1</v>
      </c>
      <c r="AQ7" s="274">
        <v>0</v>
      </c>
      <c r="AR7" s="289" t="s">
        <v>731</v>
      </c>
      <c r="AS7" s="253"/>
      <c r="AT7" s="253"/>
      <c r="AU7" s="253"/>
      <c r="AV7" s="253"/>
      <c r="AW7" s="279"/>
      <c r="AX7" s="279"/>
      <c r="AY7" s="279"/>
      <c r="AZ7" s="279"/>
      <c r="BA7" s="279"/>
      <c r="BB7" s="279"/>
      <c r="BC7" s="279"/>
      <c r="BD7" s="279"/>
      <c r="BE7" s="279"/>
      <c r="BF7" s="279"/>
      <c r="BG7" s="279"/>
      <c r="BH7" s="279"/>
      <c r="BI7" s="279"/>
      <c r="BJ7" s="279"/>
      <c r="BK7" s="279"/>
      <c r="BL7" s="279"/>
      <c r="BM7" s="279"/>
    </row>
    <row r="8" spans="1:65" s="263" customFormat="1" ht="129" customHeight="1" x14ac:dyDescent="0.25">
      <c r="A8" s="571"/>
      <c r="B8" s="571"/>
      <c r="C8" s="508"/>
      <c r="D8" s="510"/>
      <c r="E8" s="510"/>
      <c r="F8" s="510"/>
      <c r="G8" s="510"/>
      <c r="H8" s="510"/>
      <c r="I8" s="510"/>
      <c r="J8" s="506"/>
      <c r="K8" s="504"/>
      <c r="L8" s="67" t="s">
        <v>733</v>
      </c>
      <c r="M8" s="67" t="s">
        <v>734</v>
      </c>
      <c r="N8" s="68" t="s">
        <v>74</v>
      </c>
      <c r="O8" s="67"/>
      <c r="P8" s="68">
        <v>1</v>
      </c>
      <c r="Q8" s="253"/>
      <c r="R8" s="253"/>
      <c r="S8" s="253"/>
      <c r="T8" s="253"/>
      <c r="U8" s="253"/>
      <c r="V8" s="287">
        <v>174099510</v>
      </c>
      <c r="W8" s="656"/>
      <c r="X8" s="504"/>
      <c r="Y8" s="68">
        <v>0.25</v>
      </c>
      <c r="Z8" s="68">
        <v>1</v>
      </c>
      <c r="AA8" s="68">
        <v>0.25</v>
      </c>
      <c r="AB8" s="67" t="s">
        <v>735</v>
      </c>
      <c r="AC8" s="253"/>
      <c r="AD8" s="253"/>
      <c r="AE8" s="253"/>
      <c r="AF8" s="253"/>
      <c r="AG8" s="275">
        <v>0.25</v>
      </c>
      <c r="AH8" s="275">
        <v>1</v>
      </c>
      <c r="AI8" s="275">
        <v>0.25</v>
      </c>
      <c r="AJ8" s="275" t="s">
        <v>735</v>
      </c>
      <c r="AK8" s="253"/>
      <c r="AL8" s="253"/>
      <c r="AM8" s="253"/>
      <c r="AN8" s="253"/>
      <c r="AO8" s="275">
        <v>0</v>
      </c>
      <c r="AP8" s="275">
        <v>1</v>
      </c>
      <c r="AQ8" s="275">
        <v>0.25</v>
      </c>
      <c r="AR8" s="275" t="s">
        <v>735</v>
      </c>
      <c r="AS8" s="253"/>
      <c r="AT8" s="253"/>
      <c r="AU8" s="253"/>
      <c r="AV8" s="253"/>
      <c r="AW8" s="279"/>
      <c r="AX8" s="279"/>
      <c r="AY8" s="279"/>
      <c r="AZ8" s="279"/>
      <c r="BA8" s="279"/>
      <c r="BB8" s="279"/>
      <c r="BC8" s="279"/>
      <c r="BD8" s="279"/>
      <c r="BE8" s="279"/>
      <c r="BF8" s="279"/>
      <c r="BG8" s="279"/>
      <c r="BH8" s="279"/>
      <c r="BI8" s="279"/>
      <c r="BJ8" s="279"/>
      <c r="BK8" s="279"/>
      <c r="BL8" s="279"/>
      <c r="BM8" s="279"/>
    </row>
    <row r="9" spans="1:65" s="263" customFormat="1" ht="76.5" customHeight="1" x14ac:dyDescent="0.25">
      <c r="A9" s="571"/>
      <c r="B9" s="571"/>
      <c r="C9" s="15" t="s">
        <v>45</v>
      </c>
      <c r="D9" s="15" t="s">
        <v>540</v>
      </c>
      <c r="E9" s="15" t="s">
        <v>47</v>
      </c>
      <c r="F9" s="15" t="s">
        <v>724</v>
      </c>
      <c r="G9" s="15" t="s">
        <v>629</v>
      </c>
      <c r="H9" s="15" t="s">
        <v>725</v>
      </c>
      <c r="I9" s="15" t="s">
        <v>590</v>
      </c>
      <c r="J9" s="506"/>
      <c r="K9" s="504"/>
      <c r="L9" s="393" t="s">
        <v>736</v>
      </c>
      <c r="M9" s="393" t="s">
        <v>737</v>
      </c>
      <c r="N9" s="393" t="s">
        <v>74</v>
      </c>
      <c r="O9" s="393" t="s">
        <v>738</v>
      </c>
      <c r="P9" s="478">
        <v>0.75</v>
      </c>
      <c r="Q9" s="73" t="s">
        <v>739</v>
      </c>
      <c r="R9" s="73" t="s">
        <v>740</v>
      </c>
      <c r="S9" s="80" t="s">
        <v>56</v>
      </c>
      <c r="T9" s="80"/>
      <c r="U9" s="80">
        <v>3</v>
      </c>
      <c r="V9" s="652">
        <v>823917875</v>
      </c>
      <c r="W9" s="656"/>
      <c r="X9" s="504"/>
      <c r="Y9" s="478">
        <v>0</v>
      </c>
      <c r="Z9" s="478">
        <v>0.75</v>
      </c>
      <c r="AA9" s="478" t="s">
        <v>732</v>
      </c>
      <c r="AB9" s="393" t="s">
        <v>741</v>
      </c>
      <c r="AC9" s="289">
        <v>2</v>
      </c>
      <c r="AD9" s="289">
        <v>3</v>
      </c>
      <c r="AE9" s="81">
        <f>+AC9/AD9</f>
        <v>0.66666666666666663</v>
      </c>
      <c r="AF9" s="80" t="s">
        <v>742</v>
      </c>
      <c r="AG9" s="478">
        <v>0</v>
      </c>
      <c r="AH9" s="478">
        <v>0.75</v>
      </c>
      <c r="AI9" s="478" t="s">
        <v>732</v>
      </c>
      <c r="AJ9" s="393" t="s">
        <v>867</v>
      </c>
      <c r="AK9" s="289">
        <v>2</v>
      </c>
      <c r="AL9" s="289">
        <v>3</v>
      </c>
      <c r="AM9" s="81">
        <f>+AK9/AL9</f>
        <v>0.66666666666666663</v>
      </c>
      <c r="AN9" s="80" t="s">
        <v>742</v>
      </c>
      <c r="AO9" s="478"/>
      <c r="AP9" s="478"/>
      <c r="AQ9" s="478"/>
      <c r="AR9" s="393"/>
      <c r="AS9" s="289">
        <v>2</v>
      </c>
      <c r="AT9" s="289">
        <v>3</v>
      </c>
      <c r="AU9" s="81">
        <f>+AS9/AT9</f>
        <v>0.66666666666666663</v>
      </c>
      <c r="AV9" s="80" t="s">
        <v>742</v>
      </c>
      <c r="AW9" s="279"/>
      <c r="AX9" s="279"/>
      <c r="AY9" s="279"/>
      <c r="AZ9" s="279"/>
      <c r="BA9" s="279"/>
      <c r="BB9" s="279"/>
      <c r="BC9" s="279"/>
      <c r="BD9" s="279"/>
      <c r="BE9" s="279"/>
      <c r="BF9" s="279"/>
      <c r="BG9" s="279"/>
      <c r="BH9" s="279"/>
      <c r="BI9" s="279"/>
      <c r="BJ9" s="279"/>
      <c r="BK9" s="279"/>
      <c r="BL9" s="279"/>
      <c r="BM9" s="279"/>
    </row>
    <row r="10" spans="1:65" s="263" customFormat="1" ht="140.25" x14ac:dyDescent="0.25">
      <c r="A10" s="571"/>
      <c r="B10" s="571"/>
      <c r="C10" s="514" t="s">
        <v>45</v>
      </c>
      <c r="D10" s="514" t="s">
        <v>540</v>
      </c>
      <c r="E10" s="514" t="s">
        <v>47</v>
      </c>
      <c r="F10" s="514" t="s">
        <v>724</v>
      </c>
      <c r="G10" s="514" t="s">
        <v>629</v>
      </c>
      <c r="H10" s="514" t="s">
        <v>725</v>
      </c>
      <c r="I10" s="514" t="s">
        <v>590</v>
      </c>
      <c r="J10" s="506"/>
      <c r="K10" s="504"/>
      <c r="L10" s="394"/>
      <c r="M10" s="394"/>
      <c r="N10" s="394"/>
      <c r="O10" s="394"/>
      <c r="P10" s="479"/>
      <c r="Q10" s="66" t="s">
        <v>743</v>
      </c>
      <c r="R10" s="66" t="s">
        <v>744</v>
      </c>
      <c r="S10" s="67" t="s">
        <v>74</v>
      </c>
      <c r="T10" s="67"/>
      <c r="U10" s="68">
        <v>0.9</v>
      </c>
      <c r="V10" s="653"/>
      <c r="W10" s="656"/>
      <c r="X10" s="504"/>
      <c r="Y10" s="479"/>
      <c r="Z10" s="479"/>
      <c r="AA10" s="479"/>
      <c r="AB10" s="394"/>
      <c r="AC10" s="290">
        <v>0.73</v>
      </c>
      <c r="AD10" s="290">
        <v>0.9</v>
      </c>
      <c r="AE10" s="290">
        <v>0</v>
      </c>
      <c r="AF10" s="291" t="s">
        <v>745</v>
      </c>
      <c r="AG10" s="479"/>
      <c r="AH10" s="479"/>
      <c r="AI10" s="479"/>
      <c r="AJ10" s="394"/>
      <c r="AK10" s="290">
        <v>0.79</v>
      </c>
      <c r="AL10" s="290">
        <v>0.9</v>
      </c>
      <c r="AM10" s="290">
        <v>0.35289999999999999</v>
      </c>
      <c r="AN10" s="291" t="s">
        <v>746</v>
      </c>
      <c r="AO10" s="479"/>
      <c r="AP10" s="479"/>
      <c r="AQ10" s="479"/>
      <c r="AR10" s="394"/>
      <c r="AS10" s="290">
        <v>0.82399999999999995</v>
      </c>
      <c r="AT10" s="290">
        <v>0.9</v>
      </c>
      <c r="AU10" s="290">
        <v>0.52939999999999998</v>
      </c>
      <c r="AV10" s="291" t="s">
        <v>747</v>
      </c>
      <c r="AW10" s="279"/>
      <c r="AX10" s="279"/>
      <c r="AY10" s="279"/>
      <c r="AZ10" s="279"/>
      <c r="BA10" s="279"/>
      <c r="BB10" s="279"/>
      <c r="BC10" s="279"/>
      <c r="BD10" s="279"/>
      <c r="BE10" s="279"/>
      <c r="BF10" s="279"/>
      <c r="BG10" s="279"/>
      <c r="BH10" s="279"/>
      <c r="BI10" s="279"/>
      <c r="BJ10" s="279"/>
      <c r="BK10" s="279"/>
      <c r="BL10" s="279"/>
      <c r="BM10" s="279"/>
    </row>
    <row r="11" spans="1:65" s="263" customFormat="1" ht="76.5" customHeight="1" x14ac:dyDescent="0.25">
      <c r="A11" s="571"/>
      <c r="B11" s="571"/>
      <c r="C11" s="515"/>
      <c r="D11" s="515"/>
      <c r="E11" s="515"/>
      <c r="F11" s="515"/>
      <c r="G11" s="515"/>
      <c r="H11" s="515"/>
      <c r="I11" s="515"/>
      <c r="J11" s="506"/>
      <c r="K11" s="504"/>
      <c r="L11" s="395"/>
      <c r="M11" s="395"/>
      <c r="N11" s="395"/>
      <c r="O11" s="395"/>
      <c r="P11" s="480"/>
      <c r="Q11" s="73" t="s">
        <v>748</v>
      </c>
      <c r="R11" s="73" t="s">
        <v>749</v>
      </c>
      <c r="S11" s="80" t="s">
        <v>74</v>
      </c>
      <c r="T11" s="80"/>
      <c r="U11" s="81">
        <v>1</v>
      </c>
      <c r="V11" s="654"/>
      <c r="W11" s="656"/>
      <c r="X11" s="504"/>
      <c r="Y11" s="480"/>
      <c r="Z11" s="480"/>
      <c r="AA11" s="480"/>
      <c r="AB11" s="395"/>
      <c r="AC11" s="289"/>
      <c r="AD11" s="81">
        <v>1</v>
      </c>
      <c r="AE11" s="81"/>
      <c r="AF11" s="80" t="s">
        <v>741</v>
      </c>
      <c r="AG11" s="480"/>
      <c r="AH11" s="480"/>
      <c r="AI11" s="480"/>
      <c r="AJ11" s="395"/>
      <c r="AK11" s="289"/>
      <c r="AL11" s="81"/>
      <c r="AM11" s="81"/>
      <c r="AN11" s="80"/>
      <c r="AO11" s="480"/>
      <c r="AP11" s="480"/>
      <c r="AQ11" s="480"/>
      <c r="AR11" s="395"/>
      <c r="AS11" s="289">
        <v>0.25</v>
      </c>
      <c r="AT11" s="81">
        <v>1</v>
      </c>
      <c r="AU11" s="81">
        <v>0.25</v>
      </c>
      <c r="AV11" s="80" t="s">
        <v>750</v>
      </c>
      <c r="AW11" s="279"/>
      <c r="AX11" s="279"/>
      <c r="AY11" s="279"/>
      <c r="AZ11" s="279"/>
      <c r="BA11" s="279"/>
      <c r="BB11" s="279"/>
      <c r="BC11" s="279"/>
      <c r="BD11" s="279"/>
      <c r="BE11" s="279"/>
      <c r="BF11" s="279"/>
      <c r="BG11" s="279"/>
      <c r="BH11" s="279"/>
      <c r="BI11" s="279"/>
      <c r="BJ11" s="279"/>
      <c r="BK11" s="279"/>
      <c r="BL11" s="279"/>
      <c r="BM11" s="279"/>
    </row>
    <row r="12" spans="1:65" s="263" customFormat="1" ht="129" customHeight="1" x14ac:dyDescent="0.25">
      <c r="A12" s="508"/>
      <c r="B12" s="508"/>
      <c r="C12" s="515"/>
      <c r="D12" s="515"/>
      <c r="E12" s="515"/>
      <c r="F12" s="515"/>
      <c r="G12" s="515"/>
      <c r="H12" s="515"/>
      <c r="I12" s="515"/>
      <c r="J12" s="506"/>
      <c r="K12" s="504"/>
      <c r="L12" s="67" t="s">
        <v>751</v>
      </c>
      <c r="M12" s="67" t="s">
        <v>752</v>
      </c>
      <c r="N12" s="68" t="s">
        <v>74</v>
      </c>
      <c r="O12" s="67" t="s">
        <v>753</v>
      </c>
      <c r="P12" s="68">
        <v>1</v>
      </c>
      <c r="Q12" s="253"/>
      <c r="R12" s="253"/>
      <c r="S12" s="253"/>
      <c r="T12" s="253"/>
      <c r="U12" s="253"/>
      <c r="V12" s="287">
        <v>501086229</v>
      </c>
      <c r="W12" s="656"/>
      <c r="X12" s="504"/>
      <c r="Y12" s="68">
        <v>1</v>
      </c>
      <c r="Z12" s="68">
        <v>1</v>
      </c>
      <c r="AA12" s="68">
        <v>8.3333299999999999E-2</v>
      </c>
      <c r="AB12" s="67" t="s">
        <v>754</v>
      </c>
      <c r="AC12" s="253"/>
      <c r="AD12" s="253"/>
      <c r="AE12" s="253"/>
      <c r="AF12" s="253"/>
      <c r="AG12" s="68">
        <f>718/724</f>
        <v>0.99171270718232041</v>
      </c>
      <c r="AH12" s="68">
        <v>1</v>
      </c>
      <c r="AI12" s="68">
        <f>+(AG12/AH12)*8.333333%</f>
        <v>8.2642722292817675E-2</v>
      </c>
      <c r="AJ12" s="67" t="s">
        <v>755</v>
      </c>
      <c r="AK12" s="253"/>
      <c r="AL12" s="253"/>
      <c r="AM12" s="253"/>
      <c r="AN12" s="253"/>
      <c r="AO12" s="68">
        <v>0.99259807549962986</v>
      </c>
      <c r="AP12" s="68">
        <v>1</v>
      </c>
      <c r="AQ12" s="68">
        <f>+(AO12/AP12)*16.66666%</f>
        <v>0.16543294641006662</v>
      </c>
      <c r="AR12" s="67" t="s">
        <v>756</v>
      </c>
      <c r="AS12" s="253"/>
      <c r="AT12" s="253"/>
      <c r="AU12" s="253"/>
      <c r="AV12" s="253"/>
      <c r="AW12" s="279"/>
      <c r="AX12" s="279"/>
      <c r="AY12" s="279"/>
      <c r="AZ12" s="279"/>
      <c r="BA12" s="279"/>
      <c r="BB12" s="279"/>
      <c r="BC12" s="279"/>
      <c r="BD12" s="279"/>
      <c r="BE12" s="279"/>
      <c r="BF12" s="279"/>
      <c r="BG12" s="279"/>
      <c r="BH12" s="279"/>
      <c r="BI12" s="279"/>
      <c r="BJ12" s="279"/>
      <c r="BK12" s="279"/>
      <c r="BL12" s="279"/>
      <c r="BM12" s="279"/>
    </row>
    <row r="13" spans="1:65" s="279" customFormat="1" ht="64.5" customHeight="1" x14ac:dyDescent="0.25">
      <c r="A13" s="292"/>
      <c r="B13" s="292"/>
      <c r="C13" s="292"/>
      <c r="G13" s="292"/>
      <c r="J13" s="292"/>
      <c r="L13" s="293"/>
      <c r="P13" s="294"/>
      <c r="V13" s="295"/>
      <c r="W13" s="656"/>
      <c r="X13" s="281"/>
      <c r="Y13" s="388" t="s">
        <v>99</v>
      </c>
      <c r="Z13" s="388"/>
      <c r="AA13" s="58">
        <f>+AVERAGE(AA8:AA12)</f>
        <v>0.16666665</v>
      </c>
      <c r="AB13" s="281"/>
      <c r="AC13" s="388" t="s">
        <v>866</v>
      </c>
      <c r="AD13" s="388"/>
      <c r="AE13" s="58">
        <f>+AVERAGE(AE9:AE11)</f>
        <v>0.33333333333333331</v>
      </c>
      <c r="AF13" s="281"/>
      <c r="AG13" s="388" t="s">
        <v>865</v>
      </c>
      <c r="AH13" s="388"/>
      <c r="AI13" s="58">
        <f>+AVERAGE(AI8:AI12)</f>
        <v>0.16632136114640883</v>
      </c>
      <c r="AJ13" s="281"/>
      <c r="AK13" s="388" t="s">
        <v>866</v>
      </c>
      <c r="AL13" s="388"/>
      <c r="AM13" s="58">
        <f>+AVERAGE(AM9:AM11)</f>
        <v>0.50978333333333326</v>
      </c>
      <c r="AN13" s="281"/>
      <c r="AO13" s="388" t="s">
        <v>865</v>
      </c>
      <c r="AP13" s="388"/>
      <c r="AQ13" s="58">
        <f>+AVERAGE(AQ8:AQ12)</f>
        <v>0.20771647320503331</v>
      </c>
      <c r="AR13" s="281"/>
      <c r="AS13" s="388" t="s">
        <v>866</v>
      </c>
      <c r="AT13" s="388"/>
      <c r="AU13" s="58">
        <f>+AVERAGE(AU9:AU11)</f>
        <v>0.48202222222222219</v>
      </c>
      <c r="AV13" s="281"/>
    </row>
    <row r="14" spans="1:65" s="263" customFormat="1" ht="76.5" customHeight="1" x14ac:dyDescent="0.25">
      <c r="A14" s="567" t="s">
        <v>43</v>
      </c>
      <c r="B14" s="567" t="s">
        <v>44</v>
      </c>
      <c r="C14" s="567" t="s">
        <v>45</v>
      </c>
      <c r="D14" s="567" t="s">
        <v>349</v>
      </c>
      <c r="E14" s="567" t="s">
        <v>47</v>
      </c>
      <c r="F14" s="567" t="s">
        <v>326</v>
      </c>
      <c r="G14" s="567" t="s">
        <v>629</v>
      </c>
      <c r="H14" s="567" t="s">
        <v>757</v>
      </c>
      <c r="I14" s="567" t="s">
        <v>758</v>
      </c>
      <c r="J14" s="567" t="s">
        <v>726</v>
      </c>
      <c r="K14" s="567" t="s">
        <v>759</v>
      </c>
      <c r="L14" s="80" t="s">
        <v>760</v>
      </c>
      <c r="M14" s="80" t="s">
        <v>761</v>
      </c>
      <c r="N14" s="80" t="s">
        <v>74</v>
      </c>
      <c r="O14" s="80">
        <v>0</v>
      </c>
      <c r="P14" s="81">
        <v>0.8</v>
      </c>
      <c r="Q14" s="253"/>
      <c r="R14" s="253"/>
      <c r="S14" s="253"/>
      <c r="T14" s="253"/>
      <c r="U14" s="253"/>
      <c r="V14" s="288">
        <v>110676323</v>
      </c>
      <c r="W14" s="656"/>
      <c r="X14" s="402" t="s">
        <v>762</v>
      </c>
      <c r="Y14" s="81"/>
      <c r="Z14" s="81"/>
      <c r="AA14" s="81"/>
      <c r="AB14" s="81" t="s">
        <v>763</v>
      </c>
      <c r="AC14" s="253"/>
      <c r="AD14" s="253"/>
      <c r="AE14" s="253"/>
      <c r="AF14" s="253"/>
      <c r="AG14" s="81" t="s">
        <v>590</v>
      </c>
      <c r="AH14" s="81">
        <v>0.8</v>
      </c>
      <c r="AI14" s="81" t="s">
        <v>590</v>
      </c>
      <c r="AJ14" s="81" t="s">
        <v>764</v>
      </c>
      <c r="AK14" s="253"/>
      <c r="AL14" s="253"/>
      <c r="AM14" s="253"/>
      <c r="AN14" s="253"/>
      <c r="AO14" s="81">
        <v>0.61399999999999999</v>
      </c>
      <c r="AP14" s="81">
        <v>0.8</v>
      </c>
      <c r="AQ14" s="81">
        <f>+AO14/AP14</f>
        <v>0.76749999999999996</v>
      </c>
      <c r="AR14" s="81" t="s">
        <v>765</v>
      </c>
      <c r="AS14" s="253"/>
      <c r="AT14" s="253"/>
      <c r="AU14" s="253"/>
      <c r="AV14" s="253"/>
      <c r="AW14" s="279"/>
      <c r="AX14" s="279"/>
      <c r="AY14" s="279"/>
      <c r="AZ14" s="279"/>
      <c r="BA14" s="279"/>
      <c r="BB14" s="279"/>
      <c r="BC14" s="279"/>
      <c r="BD14" s="279"/>
      <c r="BE14" s="279"/>
      <c r="BF14" s="279"/>
      <c r="BG14" s="279"/>
      <c r="BH14" s="279"/>
      <c r="BI14" s="279"/>
      <c r="BJ14" s="279"/>
      <c r="BK14" s="279"/>
      <c r="BL14" s="279"/>
      <c r="BM14" s="279"/>
    </row>
    <row r="15" spans="1:65" s="263" customFormat="1" ht="144" x14ac:dyDescent="0.25">
      <c r="A15" s="642"/>
      <c r="B15" s="642"/>
      <c r="C15" s="642"/>
      <c r="D15" s="642"/>
      <c r="E15" s="642"/>
      <c r="F15" s="642"/>
      <c r="G15" s="642"/>
      <c r="H15" s="642"/>
      <c r="I15" s="642"/>
      <c r="J15" s="642"/>
      <c r="K15" s="642"/>
      <c r="L15" s="67" t="s">
        <v>766</v>
      </c>
      <c r="M15" s="67" t="s">
        <v>767</v>
      </c>
      <c r="N15" s="68" t="s">
        <v>74</v>
      </c>
      <c r="O15" s="67">
        <v>0</v>
      </c>
      <c r="P15" s="68">
        <v>1</v>
      </c>
      <c r="Q15" s="253"/>
      <c r="R15" s="253"/>
      <c r="S15" s="253"/>
      <c r="T15" s="253"/>
      <c r="U15" s="253"/>
      <c r="V15" s="287">
        <v>845679065</v>
      </c>
      <c r="W15" s="656"/>
      <c r="X15" s="402"/>
      <c r="Y15" s="68">
        <v>1</v>
      </c>
      <c r="Z15" s="68">
        <v>1</v>
      </c>
      <c r="AA15" s="68">
        <v>8.3333332999999996E-2</v>
      </c>
      <c r="AB15" s="68" t="s">
        <v>768</v>
      </c>
      <c r="AC15" s="253"/>
      <c r="AD15" s="253"/>
      <c r="AE15" s="253"/>
      <c r="AF15" s="253"/>
      <c r="AG15" s="68">
        <v>1</v>
      </c>
      <c r="AH15" s="68">
        <v>1</v>
      </c>
      <c r="AI15" s="68">
        <v>0.16666666660000001</v>
      </c>
      <c r="AJ15" s="68" t="s">
        <v>769</v>
      </c>
      <c r="AK15" s="253"/>
      <c r="AL15" s="253"/>
      <c r="AM15" s="253"/>
      <c r="AN15" s="253"/>
      <c r="AO15" s="68">
        <v>1</v>
      </c>
      <c r="AP15" s="68">
        <v>1</v>
      </c>
      <c r="AQ15" s="68">
        <v>0.25</v>
      </c>
      <c r="AR15" s="68" t="s">
        <v>770</v>
      </c>
      <c r="AS15" s="253"/>
      <c r="AT15" s="253"/>
      <c r="AU15" s="253"/>
      <c r="AV15" s="253"/>
      <c r="AW15" s="279"/>
      <c r="AX15" s="279"/>
      <c r="AY15" s="279"/>
      <c r="AZ15" s="279"/>
      <c r="BA15" s="279"/>
      <c r="BB15" s="279"/>
      <c r="BC15" s="279"/>
      <c r="BD15" s="279"/>
      <c r="BE15" s="279"/>
      <c r="BF15" s="279"/>
      <c r="BG15" s="279"/>
      <c r="BH15" s="279"/>
      <c r="BI15" s="279"/>
      <c r="BJ15" s="279"/>
      <c r="BK15" s="279"/>
      <c r="BL15" s="279"/>
      <c r="BM15" s="279"/>
    </row>
    <row r="16" spans="1:65" s="263" customFormat="1" ht="76.5" customHeight="1" x14ac:dyDescent="0.25">
      <c r="A16" s="568"/>
      <c r="B16" s="568"/>
      <c r="C16" s="568"/>
      <c r="D16" s="568"/>
      <c r="E16" s="568"/>
      <c r="F16" s="568"/>
      <c r="G16" s="568"/>
      <c r="H16" s="568"/>
      <c r="I16" s="568"/>
      <c r="J16" s="568"/>
      <c r="K16" s="568"/>
      <c r="L16" s="80" t="s">
        <v>771</v>
      </c>
      <c r="M16" s="80" t="s">
        <v>772</v>
      </c>
      <c r="N16" s="80" t="s">
        <v>74</v>
      </c>
      <c r="O16" s="80">
        <v>0</v>
      </c>
      <c r="P16" s="81">
        <v>1</v>
      </c>
      <c r="Q16" s="253"/>
      <c r="R16" s="253"/>
      <c r="S16" s="253"/>
      <c r="T16" s="253"/>
      <c r="U16" s="253"/>
      <c r="V16" s="288">
        <v>209203498</v>
      </c>
      <c r="W16" s="656"/>
      <c r="X16" s="402"/>
      <c r="Y16" s="81"/>
      <c r="Z16" s="81"/>
      <c r="AA16" s="81"/>
      <c r="AB16" s="296" t="s">
        <v>763</v>
      </c>
      <c r="AC16" s="253"/>
      <c r="AD16" s="253"/>
      <c r="AE16" s="253"/>
      <c r="AF16" s="253"/>
      <c r="AG16" s="81" t="s">
        <v>590</v>
      </c>
      <c r="AH16" s="81">
        <v>1</v>
      </c>
      <c r="AI16" s="81" t="s">
        <v>590</v>
      </c>
      <c r="AJ16" s="81" t="s">
        <v>764</v>
      </c>
      <c r="AK16" s="253"/>
      <c r="AL16" s="253"/>
      <c r="AM16" s="253"/>
      <c r="AN16" s="253"/>
      <c r="AO16" s="81">
        <v>0.52600000000000002</v>
      </c>
      <c r="AP16" s="81">
        <v>1</v>
      </c>
      <c r="AQ16" s="81">
        <v>0.13150000000000001</v>
      </c>
      <c r="AR16" s="81" t="s">
        <v>773</v>
      </c>
      <c r="AS16" s="253"/>
      <c r="AT16" s="253"/>
      <c r="AU16" s="253"/>
      <c r="AV16" s="253"/>
      <c r="AW16" s="279"/>
      <c r="AX16" s="279"/>
      <c r="AY16" s="279"/>
      <c r="AZ16" s="279"/>
      <c r="BA16" s="279"/>
      <c r="BB16" s="279"/>
      <c r="BC16" s="279"/>
      <c r="BD16" s="279"/>
      <c r="BE16" s="279"/>
      <c r="BF16" s="279"/>
      <c r="BG16" s="279"/>
      <c r="BH16" s="279"/>
      <c r="BI16" s="279"/>
      <c r="BJ16" s="279"/>
      <c r="BK16" s="279"/>
      <c r="BL16" s="279"/>
      <c r="BM16" s="279"/>
    </row>
    <row r="17" spans="1:65" s="279" customFormat="1" ht="67.5" customHeight="1" x14ac:dyDescent="0.25">
      <c r="A17" s="292"/>
      <c r="B17" s="292"/>
      <c r="C17" s="292"/>
      <c r="G17" s="292"/>
      <c r="J17" s="292"/>
      <c r="V17" s="295"/>
      <c r="W17" s="656"/>
      <c r="X17" s="281"/>
      <c r="Y17" s="388" t="s">
        <v>99</v>
      </c>
      <c r="Z17" s="388"/>
      <c r="AA17" s="58">
        <f>+AVERAGE(AA14:AA16)</f>
        <v>8.3333332999999996E-2</v>
      </c>
      <c r="AB17" s="281"/>
      <c r="AC17" s="643"/>
      <c r="AD17" s="643"/>
      <c r="AE17" s="297"/>
      <c r="AF17" s="281"/>
      <c r="AG17" s="388" t="s">
        <v>865</v>
      </c>
      <c r="AH17" s="388"/>
      <c r="AI17" s="58">
        <f>+AVERAGE(AI14:AI16)</f>
        <v>0.16666666660000001</v>
      </c>
      <c r="AJ17" s="281"/>
      <c r="AK17" s="643"/>
      <c r="AL17" s="643"/>
      <c r="AM17" s="297"/>
      <c r="AN17" s="281"/>
      <c r="AO17" s="388" t="s">
        <v>865</v>
      </c>
      <c r="AP17" s="388"/>
      <c r="AQ17" s="58">
        <f>+AVERAGE(AQ14:AQ16)</f>
        <v>0.38300000000000001</v>
      </c>
      <c r="AR17" s="281"/>
      <c r="AS17" s="643"/>
      <c r="AT17" s="643"/>
      <c r="AU17" s="297"/>
      <c r="AV17" s="281"/>
    </row>
    <row r="18" spans="1:65" s="263" customFormat="1" ht="72" x14ac:dyDescent="0.25">
      <c r="A18" s="651" t="s">
        <v>43</v>
      </c>
      <c r="B18" s="651" t="s">
        <v>44</v>
      </c>
      <c r="C18" s="651" t="s">
        <v>45</v>
      </c>
      <c r="D18" s="651" t="s">
        <v>349</v>
      </c>
      <c r="E18" s="651" t="s">
        <v>375</v>
      </c>
      <c r="F18" s="651" t="s">
        <v>643</v>
      </c>
      <c r="G18" s="651" t="s">
        <v>629</v>
      </c>
      <c r="H18" s="651" t="s">
        <v>757</v>
      </c>
      <c r="I18" s="651" t="s">
        <v>774</v>
      </c>
      <c r="J18" s="651" t="s">
        <v>726</v>
      </c>
      <c r="K18" s="428" t="s">
        <v>775</v>
      </c>
      <c r="L18" s="80" t="s">
        <v>776</v>
      </c>
      <c r="M18" s="80" t="s">
        <v>777</v>
      </c>
      <c r="N18" s="80" t="s">
        <v>74</v>
      </c>
      <c r="O18" s="80"/>
      <c r="P18" s="81">
        <v>0.92</v>
      </c>
      <c r="Q18" s="80" t="s">
        <v>778</v>
      </c>
      <c r="R18" s="80" t="s">
        <v>779</v>
      </c>
      <c r="S18" s="80" t="s">
        <v>74</v>
      </c>
      <c r="T18" s="80"/>
      <c r="U18" s="81">
        <v>0.92</v>
      </c>
      <c r="V18" s="288">
        <v>621807541</v>
      </c>
      <c r="W18" s="656"/>
      <c r="X18" s="651" t="s">
        <v>780</v>
      </c>
      <c r="Y18" s="265">
        <v>6445640723</v>
      </c>
      <c r="Z18" s="81">
        <v>0.92</v>
      </c>
      <c r="AA18" s="81">
        <f>Y18/145132117462</f>
        <v>4.4412228221555883E-2</v>
      </c>
      <c r="AB18" s="81" t="s">
        <v>781</v>
      </c>
      <c r="AC18" s="265">
        <v>5593386723</v>
      </c>
      <c r="AD18" s="81">
        <v>0.92</v>
      </c>
      <c r="AE18" s="81">
        <f>5593386723/104311415646.781</f>
        <v>5.362199993469851E-2</v>
      </c>
      <c r="AF18" s="81" t="s">
        <v>782</v>
      </c>
      <c r="AG18" s="265">
        <v>11248540381</v>
      </c>
      <c r="AH18" s="81">
        <v>0.92</v>
      </c>
      <c r="AI18" s="81">
        <f>AG18/145132117462</f>
        <v>7.7505521022562154E-2</v>
      </c>
      <c r="AJ18" s="81" t="s">
        <v>783</v>
      </c>
      <c r="AK18" s="265">
        <v>9251994529</v>
      </c>
      <c r="AL18" s="81">
        <v>0.92</v>
      </c>
      <c r="AM18" s="81">
        <f>AK18/104311415646.781</f>
        <v>8.8695896528996163E-2</v>
      </c>
      <c r="AN18" s="81" t="s">
        <v>784</v>
      </c>
      <c r="AO18" s="265">
        <v>22147193124</v>
      </c>
      <c r="AP18" s="81">
        <v>0.92</v>
      </c>
      <c r="AQ18" s="81">
        <f>AO18/145132117462</f>
        <v>0.1526002204839243</v>
      </c>
      <c r="AR18" s="81" t="s">
        <v>785</v>
      </c>
      <c r="AS18" s="265">
        <v>19279085420</v>
      </c>
      <c r="AT18" s="81">
        <v>0.92</v>
      </c>
      <c r="AU18" s="81">
        <f>+AS18/104311415646.781</f>
        <v>0.18482239264475883</v>
      </c>
      <c r="AV18" s="81" t="s">
        <v>786</v>
      </c>
      <c r="AW18" s="279"/>
      <c r="AX18" s="279"/>
      <c r="AY18" s="279"/>
      <c r="AZ18" s="279"/>
      <c r="BA18" s="279"/>
      <c r="BB18" s="279"/>
      <c r="BC18" s="279"/>
      <c r="BD18" s="279"/>
      <c r="BE18" s="279"/>
      <c r="BF18" s="279"/>
      <c r="BG18" s="279"/>
      <c r="BH18" s="279"/>
      <c r="BI18" s="279"/>
      <c r="BJ18" s="279"/>
      <c r="BK18" s="279"/>
      <c r="BL18" s="279"/>
      <c r="BM18" s="279"/>
    </row>
    <row r="19" spans="1:65" s="263" customFormat="1" ht="76.5" customHeight="1" x14ac:dyDescent="0.25">
      <c r="A19" s="651"/>
      <c r="B19" s="651" t="s">
        <v>44</v>
      </c>
      <c r="C19" s="651"/>
      <c r="D19" s="651"/>
      <c r="E19" s="651"/>
      <c r="F19" s="651"/>
      <c r="G19" s="651"/>
      <c r="H19" s="651"/>
      <c r="I19" s="651"/>
      <c r="J19" s="651"/>
      <c r="K19" s="428"/>
      <c r="L19" s="67" t="s">
        <v>787</v>
      </c>
      <c r="M19" s="67" t="s">
        <v>788</v>
      </c>
      <c r="N19" s="68" t="s">
        <v>74</v>
      </c>
      <c r="O19" s="67"/>
      <c r="P19" s="68">
        <v>1</v>
      </c>
      <c r="Q19" s="253"/>
      <c r="R19" s="253"/>
      <c r="S19" s="253"/>
      <c r="T19" s="253"/>
      <c r="U19" s="253"/>
      <c r="V19" s="287">
        <v>182489916</v>
      </c>
      <c r="W19" s="656"/>
      <c r="X19" s="651"/>
      <c r="Y19" s="287"/>
      <c r="Z19" s="68">
        <v>1</v>
      </c>
      <c r="AA19" s="68"/>
      <c r="AB19" s="68" t="s">
        <v>789</v>
      </c>
      <c r="AC19" s="253"/>
      <c r="AD19" s="253"/>
      <c r="AE19" s="253"/>
      <c r="AF19" s="253"/>
      <c r="AG19" s="287"/>
      <c r="AH19" s="68">
        <v>1</v>
      </c>
      <c r="AI19" s="68"/>
      <c r="AJ19" s="68" t="s">
        <v>789</v>
      </c>
      <c r="AK19" s="253"/>
      <c r="AL19" s="253"/>
      <c r="AM19" s="253"/>
      <c r="AN19" s="253"/>
      <c r="AO19" s="287" t="s">
        <v>732</v>
      </c>
      <c r="AP19" s="68">
        <v>1</v>
      </c>
      <c r="AQ19" s="68" t="s">
        <v>732</v>
      </c>
      <c r="AR19" s="68" t="s">
        <v>789</v>
      </c>
      <c r="AS19" s="253"/>
      <c r="AT19" s="253"/>
      <c r="AU19" s="253"/>
      <c r="AV19" s="253"/>
      <c r="AW19" s="279"/>
      <c r="AX19" s="279"/>
      <c r="AY19" s="279"/>
      <c r="AZ19" s="279"/>
      <c r="BA19" s="279"/>
      <c r="BB19" s="279"/>
      <c r="BC19" s="279"/>
      <c r="BD19" s="279"/>
      <c r="BE19" s="279"/>
      <c r="BF19" s="279"/>
      <c r="BG19" s="279"/>
      <c r="BH19" s="279"/>
      <c r="BI19" s="279"/>
      <c r="BJ19" s="279"/>
      <c r="BK19" s="279"/>
      <c r="BL19" s="279"/>
      <c r="BM19" s="279"/>
    </row>
    <row r="20" spans="1:65" s="263" customFormat="1" ht="76.5" customHeight="1" x14ac:dyDescent="0.25">
      <c r="A20" s="651"/>
      <c r="B20" s="651"/>
      <c r="C20" s="651"/>
      <c r="D20" s="651"/>
      <c r="E20" s="651"/>
      <c r="F20" s="651"/>
      <c r="G20" s="651"/>
      <c r="H20" s="651"/>
      <c r="I20" s="651"/>
      <c r="J20" s="651"/>
      <c r="K20" s="428"/>
      <c r="L20" s="80" t="s">
        <v>790</v>
      </c>
      <c r="M20" s="80" t="s">
        <v>791</v>
      </c>
      <c r="N20" s="80" t="s">
        <v>74</v>
      </c>
      <c r="O20" s="80"/>
      <c r="P20" s="81">
        <v>0.95</v>
      </c>
      <c r="Q20" s="253"/>
      <c r="R20" s="253"/>
      <c r="S20" s="253"/>
      <c r="T20" s="253"/>
      <c r="U20" s="253"/>
      <c r="V20" s="288">
        <v>506177269</v>
      </c>
      <c r="W20" s="656"/>
      <c r="X20" s="651"/>
      <c r="Y20" s="288">
        <v>6612524484.8699999</v>
      </c>
      <c r="Z20" s="81">
        <v>0.95</v>
      </c>
      <c r="AA20" s="81">
        <f>+Y20/Y21</f>
        <v>8.6622757535943104E-2</v>
      </c>
      <c r="AB20" s="81" t="s">
        <v>792</v>
      </c>
      <c r="AC20" s="253"/>
      <c r="AD20" s="253"/>
      <c r="AE20" s="253"/>
      <c r="AF20" s="253"/>
      <c r="AG20" s="288">
        <v>13599212381.779999</v>
      </c>
      <c r="AH20" s="81">
        <v>0.95</v>
      </c>
      <c r="AI20" s="81">
        <f>+AG20/AG21</f>
        <v>0.15944075908473201</v>
      </c>
      <c r="AJ20" s="81" t="s">
        <v>793</v>
      </c>
      <c r="AK20" s="253"/>
      <c r="AL20" s="253"/>
      <c r="AM20" s="253"/>
      <c r="AN20" s="253"/>
      <c r="AO20" s="288">
        <v>22700385151.810001</v>
      </c>
      <c r="AP20" s="81">
        <v>0.95</v>
      </c>
      <c r="AQ20" s="81">
        <f>+AO20/AO21</f>
        <v>0.23120126466686802</v>
      </c>
      <c r="AR20" s="81" t="s">
        <v>794</v>
      </c>
      <c r="AS20" s="253"/>
      <c r="AT20" s="253"/>
      <c r="AU20" s="253"/>
      <c r="AV20" s="253"/>
      <c r="AW20" s="279"/>
      <c r="AX20" s="279"/>
      <c r="AY20" s="279"/>
      <c r="AZ20" s="279"/>
      <c r="BA20" s="279"/>
      <c r="BB20" s="279"/>
      <c r="BC20" s="279"/>
      <c r="BD20" s="279"/>
      <c r="BE20" s="279"/>
      <c r="BF20" s="279"/>
      <c r="BG20" s="279"/>
      <c r="BH20" s="279"/>
      <c r="BI20" s="279"/>
      <c r="BJ20" s="279"/>
      <c r="BK20" s="279"/>
      <c r="BL20" s="279"/>
      <c r="BM20" s="279"/>
    </row>
    <row r="21" spans="1:65" s="263" customFormat="1" ht="76.5" customHeight="1" x14ac:dyDescent="0.25">
      <c r="A21" s="514"/>
      <c r="B21" s="514"/>
      <c r="C21" s="514"/>
      <c r="D21" s="514"/>
      <c r="E21" s="514"/>
      <c r="F21" s="514"/>
      <c r="G21" s="514"/>
      <c r="H21" s="514"/>
      <c r="I21" s="514"/>
      <c r="J21" s="514"/>
      <c r="K21" s="428"/>
      <c r="L21" s="67" t="s">
        <v>795</v>
      </c>
      <c r="M21" s="67" t="s">
        <v>796</v>
      </c>
      <c r="N21" s="68" t="s">
        <v>74</v>
      </c>
      <c r="O21" s="67"/>
      <c r="P21" s="68">
        <v>0.95</v>
      </c>
      <c r="Q21" s="253"/>
      <c r="R21" s="253"/>
      <c r="S21" s="253"/>
      <c r="T21" s="253"/>
      <c r="U21" s="253"/>
      <c r="V21" s="287">
        <v>160481076</v>
      </c>
      <c r="W21" s="656"/>
      <c r="X21" s="514"/>
      <c r="Y21" s="287">
        <v>76337035127.589996</v>
      </c>
      <c r="Z21" s="68">
        <v>0.95</v>
      </c>
      <c r="AA21" s="68">
        <f>+Y21/141886312694</f>
        <v>0.53801549760633172</v>
      </c>
      <c r="AB21" s="68" t="s">
        <v>797</v>
      </c>
      <c r="AC21" s="253"/>
      <c r="AD21" s="253"/>
      <c r="AE21" s="253"/>
      <c r="AF21" s="253"/>
      <c r="AG21" s="287">
        <v>85293198927.589996</v>
      </c>
      <c r="AH21" s="68">
        <v>0.95</v>
      </c>
      <c r="AI21" s="68">
        <f>+AG21/141886312694</f>
        <v>0.60113761016214518</v>
      </c>
      <c r="AJ21" s="68" t="s">
        <v>798</v>
      </c>
      <c r="AK21" s="253"/>
      <c r="AL21" s="253"/>
      <c r="AM21" s="253"/>
      <c r="AN21" s="253"/>
      <c r="AO21" s="287">
        <v>98184519814.449997</v>
      </c>
      <c r="AP21" s="68">
        <v>0.95</v>
      </c>
      <c r="AQ21" s="68">
        <f>+AO21/141886312694</f>
        <v>0.6919943012840164</v>
      </c>
      <c r="AR21" s="68" t="s">
        <v>799</v>
      </c>
      <c r="AS21" s="253"/>
      <c r="AT21" s="253"/>
      <c r="AU21" s="253"/>
      <c r="AV21" s="253"/>
      <c r="AW21" s="279"/>
      <c r="AX21" s="279"/>
      <c r="AY21" s="279"/>
      <c r="AZ21" s="279"/>
      <c r="BA21" s="279"/>
      <c r="BB21" s="279"/>
      <c r="BC21" s="279"/>
      <c r="BD21" s="279"/>
      <c r="BE21" s="279"/>
      <c r="BF21" s="279"/>
      <c r="BG21" s="279"/>
      <c r="BH21" s="279"/>
      <c r="BI21" s="279"/>
      <c r="BJ21" s="279"/>
      <c r="BK21" s="279"/>
      <c r="BL21" s="279"/>
      <c r="BM21" s="279"/>
    </row>
    <row r="22" spans="1:65" s="279" customFormat="1" ht="66" customHeight="1" x14ac:dyDescent="0.25">
      <c r="A22" s="292"/>
      <c r="B22" s="292"/>
      <c r="C22" s="292"/>
      <c r="G22" s="292"/>
      <c r="J22" s="292"/>
      <c r="L22" s="293"/>
      <c r="V22" s="295"/>
      <c r="W22" s="656"/>
      <c r="X22" s="281"/>
      <c r="Y22" s="388" t="s">
        <v>99</v>
      </c>
      <c r="Z22" s="388"/>
      <c r="AA22" s="58">
        <f>+AVERAGE(AA18:AA21)</f>
        <v>0.22301682778794354</v>
      </c>
      <c r="AB22" s="281"/>
      <c r="AC22" s="388" t="s">
        <v>866</v>
      </c>
      <c r="AD22" s="388"/>
      <c r="AE22" s="58">
        <f>+AVERAGE(AE18)</f>
        <v>5.362199993469851E-2</v>
      </c>
      <c r="AF22" s="281"/>
      <c r="AG22" s="388" t="s">
        <v>865</v>
      </c>
      <c r="AH22" s="388"/>
      <c r="AI22" s="58">
        <f>+AVERAGE(AI18:AI21)</f>
        <v>0.2793612967564798</v>
      </c>
      <c r="AJ22" s="281"/>
      <c r="AK22" s="388" t="s">
        <v>866</v>
      </c>
      <c r="AL22" s="388"/>
      <c r="AM22" s="58">
        <f>+AVERAGE(AM18)</f>
        <v>8.8695896528996163E-2</v>
      </c>
      <c r="AN22" s="281"/>
      <c r="AO22" s="388" t="s">
        <v>865</v>
      </c>
      <c r="AP22" s="388"/>
      <c r="AQ22" s="58">
        <f>+AVERAGE(AQ18:AQ21)</f>
        <v>0.35859859547826956</v>
      </c>
      <c r="AR22" s="281"/>
      <c r="AS22" s="388" t="s">
        <v>866</v>
      </c>
      <c r="AT22" s="388"/>
      <c r="AU22" s="58">
        <f>+AVERAGE(AU18)</f>
        <v>0.18482239264475883</v>
      </c>
      <c r="AV22" s="281"/>
    </row>
    <row r="23" spans="1:65" s="263" customFormat="1" ht="76.5" customHeight="1" x14ac:dyDescent="0.25">
      <c r="A23" s="567" t="s">
        <v>43</v>
      </c>
      <c r="B23" s="567" t="s">
        <v>44</v>
      </c>
      <c r="C23" s="567" t="s">
        <v>45</v>
      </c>
      <c r="D23" s="567" t="s">
        <v>349</v>
      </c>
      <c r="E23" s="567" t="s">
        <v>47</v>
      </c>
      <c r="F23" s="567" t="s">
        <v>350</v>
      </c>
      <c r="G23" s="567" t="s">
        <v>629</v>
      </c>
      <c r="H23" s="567" t="s">
        <v>757</v>
      </c>
      <c r="I23" s="567" t="s">
        <v>350</v>
      </c>
      <c r="J23" s="567" t="s">
        <v>726</v>
      </c>
      <c r="K23" s="567" t="s">
        <v>350</v>
      </c>
      <c r="L23" s="80" t="s">
        <v>800</v>
      </c>
      <c r="M23" s="80" t="s">
        <v>801</v>
      </c>
      <c r="N23" s="80" t="s">
        <v>74</v>
      </c>
      <c r="O23" s="80"/>
      <c r="P23" s="81">
        <v>0.5</v>
      </c>
      <c r="Q23" s="253"/>
      <c r="R23" s="253"/>
      <c r="S23" s="253"/>
      <c r="T23" s="253"/>
      <c r="U23" s="253"/>
      <c r="V23" s="288">
        <v>2003557596</v>
      </c>
      <c r="W23" s="656"/>
      <c r="X23" s="393" t="s">
        <v>802</v>
      </c>
      <c r="Y23" s="80">
        <v>0</v>
      </c>
      <c r="Z23" s="81">
        <v>0.5</v>
      </c>
      <c r="AA23" s="80">
        <v>0</v>
      </c>
      <c r="AB23" s="80" t="s">
        <v>803</v>
      </c>
      <c r="AC23" s="253"/>
      <c r="AD23" s="253"/>
      <c r="AE23" s="253"/>
      <c r="AF23" s="253"/>
      <c r="AG23" s="80">
        <v>0</v>
      </c>
      <c r="AH23" s="81">
        <v>1</v>
      </c>
      <c r="AI23" s="80" t="s">
        <v>732</v>
      </c>
      <c r="AJ23" s="80" t="s">
        <v>804</v>
      </c>
      <c r="AK23" s="253"/>
      <c r="AL23" s="253"/>
      <c r="AM23" s="253"/>
      <c r="AN23" s="253"/>
      <c r="AO23" s="80">
        <v>0</v>
      </c>
      <c r="AP23" s="81">
        <v>1</v>
      </c>
      <c r="AQ23" s="80" t="s">
        <v>732</v>
      </c>
      <c r="AR23" s="80" t="s">
        <v>804</v>
      </c>
      <c r="AS23" s="253"/>
      <c r="AT23" s="253"/>
      <c r="AU23" s="253"/>
      <c r="AV23" s="253"/>
      <c r="AW23" s="279"/>
      <c r="AX23" s="279"/>
      <c r="AY23" s="279"/>
      <c r="AZ23" s="279"/>
      <c r="BA23" s="279"/>
      <c r="BB23" s="279"/>
      <c r="BC23" s="279"/>
      <c r="BD23" s="279"/>
      <c r="BE23" s="279"/>
      <c r="BF23" s="279"/>
      <c r="BG23" s="279"/>
      <c r="BH23" s="279"/>
      <c r="BI23" s="279"/>
      <c r="BJ23" s="279"/>
      <c r="BK23" s="279"/>
      <c r="BL23" s="279"/>
      <c r="BM23" s="279"/>
    </row>
    <row r="24" spans="1:65" s="263" customFormat="1" ht="76.5" customHeight="1" x14ac:dyDescent="0.25">
      <c r="A24" s="642"/>
      <c r="B24" s="642"/>
      <c r="C24" s="642"/>
      <c r="D24" s="642"/>
      <c r="E24" s="642"/>
      <c r="F24" s="642"/>
      <c r="G24" s="642"/>
      <c r="H24" s="642"/>
      <c r="I24" s="642"/>
      <c r="J24" s="642"/>
      <c r="K24" s="642"/>
      <c r="L24" s="396" t="s">
        <v>805</v>
      </c>
      <c r="M24" s="396" t="s">
        <v>801</v>
      </c>
      <c r="N24" s="396" t="s">
        <v>74</v>
      </c>
      <c r="O24" s="396"/>
      <c r="P24" s="644">
        <v>1</v>
      </c>
      <c r="Q24" s="67" t="s">
        <v>806</v>
      </c>
      <c r="R24" s="67" t="s">
        <v>807</v>
      </c>
      <c r="S24" s="67" t="s">
        <v>56</v>
      </c>
      <c r="T24" s="67">
        <v>1</v>
      </c>
      <c r="U24" s="67">
        <v>8</v>
      </c>
      <c r="V24" s="648">
        <v>1041446371</v>
      </c>
      <c r="W24" s="656"/>
      <c r="X24" s="394"/>
      <c r="Y24" s="396"/>
      <c r="Z24" s="396">
        <v>1</v>
      </c>
      <c r="AA24" s="396" t="s">
        <v>732</v>
      </c>
      <c r="AB24" s="396" t="s">
        <v>741</v>
      </c>
      <c r="AC24" s="67">
        <v>0</v>
      </c>
      <c r="AD24" s="67">
        <v>0</v>
      </c>
      <c r="AE24" s="67"/>
      <c r="AF24" s="67" t="s">
        <v>808</v>
      </c>
      <c r="AG24" s="644">
        <v>0.1125</v>
      </c>
      <c r="AH24" s="644">
        <v>1</v>
      </c>
      <c r="AI24" s="644">
        <v>0.1125</v>
      </c>
      <c r="AJ24" s="396" t="s">
        <v>809</v>
      </c>
      <c r="AK24" s="67">
        <v>1</v>
      </c>
      <c r="AL24" s="67">
        <v>8</v>
      </c>
      <c r="AM24" s="67">
        <f>+AK24/AL24</f>
        <v>0.125</v>
      </c>
      <c r="AN24" s="67" t="s">
        <v>810</v>
      </c>
      <c r="AO24" s="644">
        <v>0.13120000000000001</v>
      </c>
      <c r="AP24" s="644">
        <v>1</v>
      </c>
      <c r="AQ24" s="644">
        <v>0.13120000000000001</v>
      </c>
      <c r="AR24" s="396" t="s">
        <v>809</v>
      </c>
      <c r="AS24" s="67">
        <v>1</v>
      </c>
      <c r="AT24" s="67">
        <v>8</v>
      </c>
      <c r="AU24" s="67">
        <f>+AS24/AT24</f>
        <v>0.125</v>
      </c>
      <c r="AV24" s="67" t="s">
        <v>810</v>
      </c>
      <c r="AW24" s="279"/>
      <c r="AX24" s="279"/>
      <c r="AY24" s="279"/>
      <c r="AZ24" s="279"/>
      <c r="BA24" s="279"/>
      <c r="BB24" s="279"/>
      <c r="BC24" s="279"/>
      <c r="BD24" s="279"/>
      <c r="BE24" s="279"/>
      <c r="BF24" s="279"/>
      <c r="BG24" s="279"/>
      <c r="BH24" s="279"/>
      <c r="BI24" s="279"/>
      <c r="BJ24" s="279"/>
      <c r="BK24" s="279"/>
      <c r="BL24" s="279"/>
      <c r="BM24" s="279"/>
    </row>
    <row r="25" spans="1:65" s="263" customFormat="1" ht="76.5" customHeight="1" x14ac:dyDescent="0.25">
      <c r="A25" s="642"/>
      <c r="B25" s="642"/>
      <c r="C25" s="642"/>
      <c r="D25" s="642"/>
      <c r="E25" s="642"/>
      <c r="F25" s="642"/>
      <c r="G25" s="642"/>
      <c r="H25" s="642"/>
      <c r="I25" s="642"/>
      <c r="J25" s="642"/>
      <c r="K25" s="642"/>
      <c r="L25" s="397"/>
      <c r="M25" s="397"/>
      <c r="N25" s="397"/>
      <c r="O25" s="397"/>
      <c r="P25" s="645"/>
      <c r="Q25" s="80" t="s">
        <v>811</v>
      </c>
      <c r="R25" s="80" t="s">
        <v>812</v>
      </c>
      <c r="S25" s="80" t="s">
        <v>56</v>
      </c>
      <c r="T25" s="80"/>
      <c r="U25" s="80">
        <v>350</v>
      </c>
      <c r="V25" s="649"/>
      <c r="W25" s="656"/>
      <c r="X25" s="394"/>
      <c r="Y25" s="397"/>
      <c r="Z25" s="397"/>
      <c r="AA25" s="397"/>
      <c r="AB25" s="397"/>
      <c r="AC25" s="80">
        <v>0</v>
      </c>
      <c r="AD25" s="80">
        <v>0</v>
      </c>
      <c r="AE25" s="80"/>
      <c r="AF25" s="80" t="s">
        <v>813</v>
      </c>
      <c r="AG25" s="645"/>
      <c r="AH25" s="645"/>
      <c r="AI25" s="645"/>
      <c r="AJ25" s="397"/>
      <c r="AK25" s="80">
        <v>0</v>
      </c>
      <c r="AL25" s="80">
        <v>350</v>
      </c>
      <c r="AM25" s="80" t="s">
        <v>732</v>
      </c>
      <c r="AN25" s="80" t="s">
        <v>814</v>
      </c>
      <c r="AO25" s="645"/>
      <c r="AP25" s="645"/>
      <c r="AQ25" s="645"/>
      <c r="AR25" s="397"/>
      <c r="AS25" s="80">
        <v>0</v>
      </c>
      <c r="AT25" s="80">
        <v>350</v>
      </c>
      <c r="AU25" s="80" t="s">
        <v>732</v>
      </c>
      <c r="AV25" s="80" t="s">
        <v>815</v>
      </c>
      <c r="AW25" s="279"/>
      <c r="AX25" s="279"/>
      <c r="AY25" s="279"/>
      <c r="AZ25" s="279"/>
      <c r="BA25" s="279"/>
      <c r="BB25" s="279"/>
      <c r="BC25" s="279"/>
      <c r="BD25" s="279"/>
      <c r="BE25" s="279"/>
      <c r="BF25" s="279"/>
      <c r="BG25" s="279"/>
      <c r="BH25" s="279"/>
      <c r="BI25" s="279"/>
      <c r="BJ25" s="279"/>
      <c r="BK25" s="279"/>
      <c r="BL25" s="279"/>
      <c r="BM25" s="279"/>
    </row>
    <row r="26" spans="1:65" s="263" customFormat="1" ht="76.5" customHeight="1" x14ac:dyDescent="0.25">
      <c r="A26" s="642"/>
      <c r="B26" s="642"/>
      <c r="C26" s="642" t="s">
        <v>45</v>
      </c>
      <c r="D26" s="642"/>
      <c r="E26" s="642"/>
      <c r="F26" s="642"/>
      <c r="G26" s="642"/>
      <c r="H26" s="642"/>
      <c r="I26" s="642"/>
      <c r="J26" s="642"/>
      <c r="K26" s="642"/>
      <c r="L26" s="397"/>
      <c r="M26" s="397"/>
      <c r="N26" s="397"/>
      <c r="O26" s="397"/>
      <c r="P26" s="645"/>
      <c r="Q26" s="67" t="s">
        <v>816</v>
      </c>
      <c r="R26" s="67" t="s">
        <v>817</v>
      </c>
      <c r="S26" s="67" t="s">
        <v>56</v>
      </c>
      <c r="T26" s="67"/>
      <c r="U26" s="67">
        <v>5</v>
      </c>
      <c r="V26" s="649"/>
      <c r="W26" s="656"/>
      <c r="X26" s="394"/>
      <c r="Y26" s="397"/>
      <c r="Z26" s="397"/>
      <c r="AA26" s="397"/>
      <c r="AB26" s="397"/>
      <c r="AC26" s="67">
        <v>0</v>
      </c>
      <c r="AD26" s="67">
        <v>0</v>
      </c>
      <c r="AE26" s="67"/>
      <c r="AF26" s="67" t="s">
        <v>818</v>
      </c>
      <c r="AG26" s="645"/>
      <c r="AH26" s="645"/>
      <c r="AI26" s="645"/>
      <c r="AJ26" s="397"/>
      <c r="AK26" s="67">
        <v>1</v>
      </c>
      <c r="AL26" s="67">
        <v>5</v>
      </c>
      <c r="AM26" s="67">
        <v>0.2</v>
      </c>
      <c r="AN26" s="67" t="s">
        <v>819</v>
      </c>
      <c r="AO26" s="645"/>
      <c r="AP26" s="645"/>
      <c r="AQ26" s="645"/>
      <c r="AR26" s="397"/>
      <c r="AS26" s="67">
        <v>1</v>
      </c>
      <c r="AT26" s="67">
        <v>5</v>
      </c>
      <c r="AU26" s="67">
        <f t="shared" ref="AU26:AU27" si="0">+AS26/AT26</f>
        <v>0.2</v>
      </c>
      <c r="AV26" s="67" t="s">
        <v>820</v>
      </c>
      <c r="AW26" s="279"/>
      <c r="AX26" s="279"/>
      <c r="AY26" s="279"/>
      <c r="AZ26" s="279"/>
      <c r="BA26" s="279"/>
      <c r="BB26" s="279"/>
      <c r="BC26" s="279"/>
      <c r="BD26" s="279"/>
      <c r="BE26" s="279"/>
      <c r="BF26" s="279"/>
      <c r="BG26" s="279"/>
      <c r="BH26" s="279"/>
      <c r="BI26" s="279"/>
      <c r="BJ26" s="279"/>
      <c r="BK26" s="279"/>
      <c r="BL26" s="279"/>
      <c r="BM26" s="279"/>
    </row>
    <row r="27" spans="1:65" s="263" customFormat="1" ht="84" x14ac:dyDescent="0.25">
      <c r="A27" s="642"/>
      <c r="B27" s="642"/>
      <c r="C27" s="642"/>
      <c r="D27" s="642"/>
      <c r="E27" s="642"/>
      <c r="F27" s="642"/>
      <c r="G27" s="642"/>
      <c r="H27" s="642"/>
      <c r="I27" s="642"/>
      <c r="J27" s="642"/>
      <c r="K27" s="642"/>
      <c r="L27" s="398"/>
      <c r="M27" s="398"/>
      <c r="N27" s="398"/>
      <c r="O27" s="398"/>
      <c r="P27" s="646"/>
      <c r="Q27" s="80" t="s">
        <v>821</v>
      </c>
      <c r="R27" s="80" t="s">
        <v>822</v>
      </c>
      <c r="S27" s="80" t="s">
        <v>56</v>
      </c>
      <c r="T27" s="80"/>
      <c r="U27" s="80">
        <v>5</v>
      </c>
      <c r="V27" s="650"/>
      <c r="W27" s="656"/>
      <c r="X27" s="395"/>
      <c r="Y27" s="398"/>
      <c r="Z27" s="398"/>
      <c r="AA27" s="398"/>
      <c r="AB27" s="398"/>
      <c r="AC27" s="80">
        <v>1</v>
      </c>
      <c r="AD27" s="80">
        <v>0</v>
      </c>
      <c r="AE27" s="80"/>
      <c r="AF27" s="80" t="s">
        <v>823</v>
      </c>
      <c r="AG27" s="646"/>
      <c r="AH27" s="646"/>
      <c r="AI27" s="646"/>
      <c r="AJ27" s="398"/>
      <c r="AK27" s="80">
        <v>0</v>
      </c>
      <c r="AL27" s="80">
        <v>5</v>
      </c>
      <c r="AM27" s="80" t="s">
        <v>732</v>
      </c>
      <c r="AN27" s="80" t="s">
        <v>824</v>
      </c>
      <c r="AO27" s="647"/>
      <c r="AP27" s="647"/>
      <c r="AQ27" s="647"/>
      <c r="AR27" s="398"/>
      <c r="AS27" s="80">
        <v>1</v>
      </c>
      <c r="AT27" s="80">
        <v>5</v>
      </c>
      <c r="AU27" s="80">
        <f t="shared" si="0"/>
        <v>0.2</v>
      </c>
      <c r="AV27" s="80" t="s">
        <v>825</v>
      </c>
      <c r="AW27" s="279"/>
      <c r="AX27" s="279"/>
      <c r="AY27" s="279"/>
      <c r="AZ27" s="279"/>
      <c r="BA27" s="279"/>
      <c r="BB27" s="279"/>
      <c r="BC27" s="279"/>
      <c r="BD27" s="279"/>
      <c r="BE27" s="279"/>
      <c r="BF27" s="279"/>
      <c r="BG27" s="279"/>
      <c r="BH27" s="279"/>
      <c r="BI27" s="279"/>
      <c r="BJ27" s="279"/>
      <c r="BK27" s="279"/>
      <c r="BL27" s="279"/>
      <c r="BM27" s="279"/>
    </row>
    <row r="28" spans="1:65" s="279" customFormat="1" ht="72" customHeight="1" x14ac:dyDescent="0.25">
      <c r="A28" s="292"/>
      <c r="B28" s="292"/>
      <c r="C28" s="292"/>
      <c r="G28" s="292"/>
      <c r="J28" s="292"/>
      <c r="L28" s="293"/>
      <c r="V28" s="295"/>
      <c r="W28" s="656"/>
      <c r="X28" s="281"/>
      <c r="Y28" s="388" t="s">
        <v>99</v>
      </c>
      <c r="Z28" s="388"/>
      <c r="AA28" s="58"/>
      <c r="AB28" s="281"/>
      <c r="AC28" s="388" t="s">
        <v>866</v>
      </c>
      <c r="AD28" s="388"/>
      <c r="AE28" s="58"/>
      <c r="AF28" s="281"/>
      <c r="AG28" s="388" t="s">
        <v>865</v>
      </c>
      <c r="AH28" s="388"/>
      <c r="AI28" s="58">
        <f>+AVERAGE(AI23:AI27)</f>
        <v>0.1125</v>
      </c>
      <c r="AJ28" s="281"/>
      <c r="AK28" s="388" t="s">
        <v>866</v>
      </c>
      <c r="AL28" s="388"/>
      <c r="AM28" s="58">
        <f>+AVERAGE(AM24:AM26,AM22)</f>
        <v>0.13789863217633205</v>
      </c>
      <c r="AN28" s="281"/>
      <c r="AO28" s="388" t="s">
        <v>865</v>
      </c>
      <c r="AP28" s="388"/>
      <c r="AQ28" s="58">
        <f>+AVERAGE(AQ23:AQ27)</f>
        <v>0.13120000000000001</v>
      </c>
      <c r="AR28" s="281"/>
      <c r="AS28" s="388" t="s">
        <v>866</v>
      </c>
      <c r="AT28" s="388"/>
      <c r="AU28" s="58">
        <f>+AVERAGE(AU24:AU27,AU22)</f>
        <v>0.17745559816118972</v>
      </c>
      <c r="AV28" s="281"/>
    </row>
    <row r="29" spans="1:65" s="263" customFormat="1" ht="76.5" customHeight="1" x14ac:dyDescent="0.25">
      <c r="A29" s="396" t="s">
        <v>43</v>
      </c>
      <c r="B29" s="396" t="s">
        <v>44</v>
      </c>
      <c r="C29" s="396" t="s">
        <v>45</v>
      </c>
      <c r="D29" s="396" t="s">
        <v>349</v>
      </c>
      <c r="E29" s="396" t="s">
        <v>47</v>
      </c>
      <c r="F29" s="396" t="s">
        <v>326</v>
      </c>
      <c r="G29" s="396" t="s">
        <v>629</v>
      </c>
      <c r="H29" s="396" t="s">
        <v>757</v>
      </c>
      <c r="I29" s="396" t="s">
        <v>826</v>
      </c>
      <c r="J29" s="396" t="s">
        <v>726</v>
      </c>
      <c r="K29" s="396" t="s">
        <v>827</v>
      </c>
      <c r="L29" s="67" t="s">
        <v>828</v>
      </c>
      <c r="M29" s="67" t="s">
        <v>829</v>
      </c>
      <c r="N29" s="67" t="s">
        <v>74</v>
      </c>
      <c r="O29" s="67"/>
      <c r="P29" s="68">
        <v>0.2</v>
      </c>
      <c r="Q29" s="253"/>
      <c r="R29" s="253"/>
      <c r="S29" s="253"/>
      <c r="T29" s="253"/>
      <c r="U29" s="253"/>
      <c r="V29" s="287">
        <v>121400399</v>
      </c>
      <c r="W29" s="656"/>
      <c r="X29" s="396" t="s">
        <v>802</v>
      </c>
      <c r="Y29" s="68">
        <v>0.14000000000000001</v>
      </c>
      <c r="Z29" s="68">
        <v>0.2</v>
      </c>
      <c r="AA29" s="68">
        <f>+Y29/Z29</f>
        <v>0.70000000000000007</v>
      </c>
      <c r="AB29" s="68" t="s">
        <v>830</v>
      </c>
      <c r="AC29" s="253"/>
      <c r="AD29" s="253"/>
      <c r="AE29" s="253"/>
      <c r="AF29" s="253"/>
      <c r="AG29" s="68">
        <v>0.35</v>
      </c>
      <c r="AH29" s="68">
        <v>0.2</v>
      </c>
      <c r="AI29" s="68">
        <v>1.23</v>
      </c>
      <c r="AJ29" s="68" t="s">
        <v>831</v>
      </c>
      <c r="AK29" s="253"/>
      <c r="AL29" s="253"/>
      <c r="AM29" s="253"/>
      <c r="AN29" s="253"/>
      <c r="AO29" s="68">
        <v>0.6</v>
      </c>
      <c r="AP29" s="68">
        <v>0.2</v>
      </c>
      <c r="AQ29" s="68">
        <v>1.82</v>
      </c>
      <c r="AR29" s="68" t="s">
        <v>832</v>
      </c>
      <c r="AS29" s="253"/>
      <c r="AT29" s="253"/>
      <c r="AU29" s="253"/>
      <c r="AV29" s="253"/>
      <c r="AW29" s="279"/>
      <c r="AX29" s="279"/>
      <c r="AY29" s="279"/>
      <c r="AZ29" s="279"/>
      <c r="BA29" s="279"/>
      <c r="BB29" s="279"/>
      <c r="BC29" s="279"/>
      <c r="BD29" s="279"/>
      <c r="BE29" s="279"/>
      <c r="BF29" s="279"/>
      <c r="BG29" s="279"/>
      <c r="BH29" s="279"/>
      <c r="BI29" s="279"/>
      <c r="BJ29" s="279"/>
      <c r="BK29" s="279"/>
      <c r="BL29" s="279"/>
      <c r="BM29" s="279"/>
    </row>
    <row r="30" spans="1:65" s="263" customFormat="1" ht="76.5" customHeight="1" x14ac:dyDescent="0.25">
      <c r="A30" s="397"/>
      <c r="B30" s="397"/>
      <c r="C30" s="397"/>
      <c r="D30" s="397"/>
      <c r="E30" s="397"/>
      <c r="F30" s="397"/>
      <c r="G30" s="397"/>
      <c r="H30" s="397"/>
      <c r="I30" s="397"/>
      <c r="J30" s="397"/>
      <c r="K30" s="397"/>
      <c r="L30" s="80" t="s">
        <v>833</v>
      </c>
      <c r="M30" s="80" t="s">
        <v>834</v>
      </c>
      <c r="N30" s="80" t="s">
        <v>74</v>
      </c>
      <c r="O30" s="80"/>
      <c r="P30" s="81">
        <v>0.8</v>
      </c>
      <c r="Q30" s="253"/>
      <c r="R30" s="253"/>
      <c r="S30" s="253"/>
      <c r="T30" s="253"/>
      <c r="U30" s="253"/>
      <c r="V30" s="288">
        <v>748823868</v>
      </c>
      <c r="W30" s="656"/>
      <c r="X30" s="397"/>
      <c r="Y30" s="81">
        <f>84/92</f>
        <v>0.91304347826086951</v>
      </c>
      <c r="Z30" s="81">
        <v>0.8</v>
      </c>
      <c r="AA30" s="81">
        <f>+Y30/Z30</f>
        <v>1.1413043478260869</v>
      </c>
      <c r="AB30" s="81" t="s">
        <v>835</v>
      </c>
      <c r="AC30" s="253"/>
      <c r="AD30" s="253"/>
      <c r="AE30" s="253"/>
      <c r="AF30" s="253"/>
      <c r="AG30" s="81">
        <f>54.7/58</f>
        <v>0.94310344827586212</v>
      </c>
      <c r="AH30" s="81">
        <v>0.8</v>
      </c>
      <c r="AI30" s="81">
        <v>1.1599999999999999</v>
      </c>
      <c r="AJ30" s="81" t="s">
        <v>836</v>
      </c>
      <c r="AK30" s="253"/>
      <c r="AL30" s="253"/>
      <c r="AM30" s="253"/>
      <c r="AN30" s="253"/>
      <c r="AO30" s="81">
        <v>0.87</v>
      </c>
      <c r="AP30" s="81">
        <v>0.8</v>
      </c>
      <c r="AQ30" s="81">
        <v>1.1399999999999999</v>
      </c>
      <c r="AR30" s="81" t="s">
        <v>837</v>
      </c>
      <c r="AS30" s="253"/>
      <c r="AT30" s="253"/>
      <c r="AU30" s="253"/>
      <c r="AV30" s="253"/>
      <c r="AW30" s="279"/>
      <c r="AX30" s="279"/>
      <c r="AY30" s="279"/>
      <c r="AZ30" s="279"/>
      <c r="BA30" s="279"/>
      <c r="BB30" s="279"/>
      <c r="BC30" s="279"/>
      <c r="BD30" s="279"/>
      <c r="BE30" s="279"/>
      <c r="BF30" s="279"/>
      <c r="BG30" s="279"/>
      <c r="BH30" s="279"/>
      <c r="BI30" s="279"/>
      <c r="BJ30" s="279"/>
      <c r="BK30" s="279"/>
      <c r="BL30" s="279"/>
      <c r="BM30" s="279"/>
    </row>
    <row r="31" spans="1:65" s="263" customFormat="1" ht="76.5" customHeight="1" x14ac:dyDescent="0.25">
      <c r="A31" s="398"/>
      <c r="B31" s="398"/>
      <c r="C31" s="398"/>
      <c r="D31" s="398"/>
      <c r="E31" s="398"/>
      <c r="F31" s="398"/>
      <c r="G31" s="398"/>
      <c r="H31" s="398"/>
      <c r="I31" s="398"/>
      <c r="J31" s="398"/>
      <c r="K31" s="398"/>
      <c r="L31" s="67" t="s">
        <v>838</v>
      </c>
      <c r="M31" s="67" t="s">
        <v>839</v>
      </c>
      <c r="N31" s="67" t="s">
        <v>74</v>
      </c>
      <c r="O31" s="67"/>
      <c r="P31" s="68">
        <v>0.9</v>
      </c>
      <c r="Q31" s="253"/>
      <c r="R31" s="253"/>
      <c r="S31" s="253"/>
      <c r="T31" s="253"/>
      <c r="U31" s="253"/>
      <c r="V31" s="287">
        <v>1303883335</v>
      </c>
      <c r="W31" s="656"/>
      <c r="X31" s="398"/>
      <c r="Y31" s="68"/>
      <c r="Z31" s="68"/>
      <c r="AA31" s="68"/>
      <c r="AB31" s="68"/>
      <c r="AC31" s="253"/>
      <c r="AD31" s="253"/>
      <c r="AE31" s="253"/>
      <c r="AF31" s="253"/>
      <c r="AG31" s="68">
        <v>0.5</v>
      </c>
      <c r="AH31" s="68">
        <v>1</v>
      </c>
      <c r="AI31" s="68">
        <v>0.5</v>
      </c>
      <c r="AJ31" s="68" t="s">
        <v>840</v>
      </c>
      <c r="AK31" s="253"/>
      <c r="AL31" s="253"/>
      <c r="AM31" s="253"/>
      <c r="AN31" s="253"/>
      <c r="AO31" s="68">
        <v>0.625</v>
      </c>
      <c r="AP31" s="68">
        <v>1</v>
      </c>
      <c r="AQ31" s="68">
        <v>0.625</v>
      </c>
      <c r="AR31" s="68" t="s">
        <v>841</v>
      </c>
      <c r="AS31" s="253"/>
      <c r="AT31" s="253"/>
      <c r="AU31" s="253"/>
      <c r="AV31" s="253"/>
      <c r="AW31" s="279"/>
      <c r="AX31" s="279"/>
      <c r="AY31" s="279"/>
      <c r="AZ31" s="279"/>
      <c r="BA31" s="279"/>
      <c r="BB31" s="279"/>
      <c r="BC31" s="279"/>
      <c r="BD31" s="279"/>
      <c r="BE31" s="279"/>
      <c r="BF31" s="279"/>
      <c r="BG31" s="279"/>
      <c r="BH31" s="279"/>
      <c r="BI31" s="279"/>
      <c r="BJ31" s="279"/>
      <c r="BK31" s="279"/>
      <c r="BL31" s="279"/>
      <c r="BM31" s="279"/>
    </row>
    <row r="32" spans="1:65" s="279" customFormat="1" ht="76.5" customHeight="1" x14ac:dyDescent="0.25">
      <c r="A32" s="292"/>
      <c r="B32" s="292"/>
      <c r="C32" s="292"/>
      <c r="G32" s="292"/>
      <c r="J32" s="292"/>
      <c r="L32" s="293"/>
      <c r="P32" s="298"/>
      <c r="V32" s="295"/>
      <c r="W32" s="656"/>
      <c r="X32" s="281"/>
      <c r="Y32" s="388" t="s">
        <v>99</v>
      </c>
      <c r="Z32" s="388"/>
      <c r="AA32" s="58">
        <f>+AVERAGE(AA29:AA31)</f>
        <v>0.92065217391304355</v>
      </c>
      <c r="AB32" s="281"/>
      <c r="AC32" s="643"/>
      <c r="AD32" s="643"/>
      <c r="AE32" s="297"/>
      <c r="AF32" s="281"/>
      <c r="AG32" s="388" t="s">
        <v>865</v>
      </c>
      <c r="AH32" s="388"/>
      <c r="AI32" s="58">
        <f>+AVERAGE(AI29:AI31)</f>
        <v>0.96333333333333326</v>
      </c>
      <c r="AJ32" s="281"/>
      <c r="AK32" s="643"/>
      <c r="AL32" s="643"/>
      <c r="AM32" s="297"/>
      <c r="AN32" s="281"/>
      <c r="AO32" s="388" t="s">
        <v>865</v>
      </c>
      <c r="AP32" s="388"/>
      <c r="AQ32" s="58">
        <f>+AVERAGE(AQ29:AQ31)</f>
        <v>1.1950000000000001</v>
      </c>
      <c r="AR32" s="281"/>
      <c r="AS32" s="643"/>
      <c r="AT32" s="643"/>
      <c r="AU32" s="297"/>
      <c r="AV32" s="281"/>
    </row>
    <row r="33" spans="1:65" s="263" customFormat="1" ht="136.5" customHeight="1" x14ac:dyDescent="0.25">
      <c r="A33" s="567" t="s">
        <v>43</v>
      </c>
      <c r="B33" s="567" t="s">
        <v>44</v>
      </c>
      <c r="C33" s="567" t="s">
        <v>45</v>
      </c>
      <c r="D33" s="567" t="s">
        <v>349</v>
      </c>
      <c r="E33" s="567" t="s">
        <v>422</v>
      </c>
      <c r="F33" s="567" t="s">
        <v>422</v>
      </c>
      <c r="G33" s="567" t="s">
        <v>629</v>
      </c>
      <c r="H33" s="567" t="s">
        <v>757</v>
      </c>
      <c r="I33" s="567" t="s">
        <v>842</v>
      </c>
      <c r="J33" s="567" t="s">
        <v>726</v>
      </c>
      <c r="K33" s="567" t="s">
        <v>843</v>
      </c>
      <c r="L33" s="67" t="s">
        <v>844</v>
      </c>
      <c r="M33" s="67" t="s">
        <v>845</v>
      </c>
      <c r="N33" s="67" t="s">
        <v>74</v>
      </c>
      <c r="O33" s="67"/>
      <c r="P33" s="68">
        <v>0.9</v>
      </c>
      <c r="Q33" s="68" t="s">
        <v>846</v>
      </c>
      <c r="R33" s="68" t="s">
        <v>847</v>
      </c>
      <c r="S33" s="68" t="s">
        <v>74</v>
      </c>
      <c r="T33" s="68"/>
      <c r="U33" s="68">
        <v>0.5</v>
      </c>
      <c r="V33" s="287">
        <v>158897394</v>
      </c>
      <c r="W33" s="656"/>
      <c r="X33" s="567" t="s">
        <v>848</v>
      </c>
      <c r="Y33" s="68">
        <v>0</v>
      </c>
      <c r="Z33" s="68">
        <v>0.9</v>
      </c>
      <c r="AA33" s="68" t="s">
        <v>732</v>
      </c>
      <c r="AB33" s="67" t="s">
        <v>849</v>
      </c>
      <c r="AC33" s="68">
        <v>0</v>
      </c>
      <c r="AD33" s="68">
        <v>0.5</v>
      </c>
      <c r="AE33" s="68" t="s">
        <v>732</v>
      </c>
      <c r="AF33" s="67" t="s">
        <v>850</v>
      </c>
      <c r="AG33" s="68">
        <v>0.97919999999999996</v>
      </c>
      <c r="AH33" s="68">
        <v>0.9</v>
      </c>
      <c r="AI33" s="68">
        <f>(AG33/AH33)*16.66666%</f>
        <v>0.18133326079999998</v>
      </c>
      <c r="AJ33" s="67" t="s">
        <v>851</v>
      </c>
      <c r="AK33" s="68">
        <v>0</v>
      </c>
      <c r="AL33" s="68">
        <v>0.5</v>
      </c>
      <c r="AM33" s="68" t="s">
        <v>732</v>
      </c>
      <c r="AN33" s="68" t="s">
        <v>850</v>
      </c>
      <c r="AO33" s="68">
        <v>0.84</v>
      </c>
      <c r="AP33" s="68">
        <v>0.9</v>
      </c>
      <c r="AQ33" s="68">
        <f>91.42%*25%</f>
        <v>0.22855</v>
      </c>
      <c r="AR33" s="67" t="s">
        <v>852</v>
      </c>
      <c r="AS33" s="68">
        <v>0</v>
      </c>
      <c r="AT33" s="68">
        <v>0.5</v>
      </c>
      <c r="AU33" s="68" t="s">
        <v>732</v>
      </c>
      <c r="AV33" s="68" t="s">
        <v>850</v>
      </c>
      <c r="AW33" s="279"/>
      <c r="AX33" s="279"/>
      <c r="AY33" s="279"/>
      <c r="AZ33" s="279"/>
      <c r="BA33" s="279"/>
      <c r="BB33" s="279"/>
      <c r="BC33" s="279"/>
      <c r="BD33" s="279"/>
      <c r="BE33" s="279"/>
      <c r="BF33" s="279"/>
      <c r="BG33" s="279"/>
      <c r="BH33" s="279"/>
      <c r="BI33" s="279"/>
      <c r="BJ33" s="279"/>
      <c r="BK33" s="279"/>
      <c r="BL33" s="279"/>
      <c r="BM33" s="279"/>
    </row>
    <row r="34" spans="1:65" s="263" customFormat="1" ht="131.25" customHeight="1" x14ac:dyDescent="0.25">
      <c r="A34" s="642"/>
      <c r="B34" s="642"/>
      <c r="C34" s="642"/>
      <c r="D34" s="642"/>
      <c r="E34" s="642"/>
      <c r="F34" s="642"/>
      <c r="G34" s="642"/>
      <c r="H34" s="642"/>
      <c r="I34" s="642"/>
      <c r="J34" s="642"/>
      <c r="K34" s="642"/>
      <c r="L34" s="80" t="s">
        <v>853</v>
      </c>
      <c r="M34" s="80" t="s">
        <v>845</v>
      </c>
      <c r="N34" s="80" t="s">
        <v>74</v>
      </c>
      <c r="O34" s="80"/>
      <c r="P34" s="81">
        <v>0.9</v>
      </c>
      <c r="Q34" s="253"/>
      <c r="R34" s="253"/>
      <c r="S34" s="253"/>
      <c r="T34" s="253"/>
      <c r="U34" s="253"/>
      <c r="V34" s="288">
        <v>326753660</v>
      </c>
      <c r="W34" s="656"/>
      <c r="X34" s="642"/>
      <c r="Y34" s="81">
        <v>0.94989400000000002</v>
      </c>
      <c r="Z34" s="81">
        <v>0.9</v>
      </c>
      <c r="AA34" s="81">
        <f>+(Y34/Z34)*8.33333%</f>
        <v>8.7953112966888874E-2</v>
      </c>
      <c r="AB34" s="80" t="s">
        <v>854</v>
      </c>
      <c r="AC34" s="268"/>
      <c r="AD34" s="253"/>
      <c r="AE34" s="253"/>
      <c r="AF34" s="253"/>
      <c r="AG34" s="81">
        <v>0.96445000000000003</v>
      </c>
      <c r="AH34" s="81">
        <v>0.9</v>
      </c>
      <c r="AI34" s="81">
        <f>(AG34/AH34)*16.6666%</f>
        <v>0.17860113744444442</v>
      </c>
      <c r="AJ34" s="80" t="s">
        <v>855</v>
      </c>
      <c r="AK34" s="268"/>
      <c r="AL34" s="253"/>
      <c r="AM34" s="253"/>
      <c r="AN34" s="253"/>
      <c r="AO34" s="81">
        <v>0.94940000000000002</v>
      </c>
      <c r="AP34" s="81">
        <v>0.9</v>
      </c>
      <c r="AQ34" s="81">
        <f>+(95.45%)*25%</f>
        <v>0.238625</v>
      </c>
      <c r="AR34" s="80" t="s">
        <v>856</v>
      </c>
      <c r="AS34" s="268"/>
      <c r="AT34" s="253"/>
      <c r="AU34" s="253"/>
      <c r="AV34" s="253"/>
      <c r="AW34" s="279"/>
      <c r="AX34" s="279"/>
      <c r="AY34" s="279"/>
      <c r="AZ34" s="279"/>
      <c r="BA34" s="279"/>
      <c r="BB34" s="279"/>
      <c r="BC34" s="279"/>
      <c r="BD34" s="279"/>
      <c r="BE34" s="279"/>
      <c r="BF34" s="279"/>
      <c r="BG34" s="279"/>
      <c r="BH34" s="279"/>
      <c r="BI34" s="279"/>
      <c r="BJ34" s="279"/>
      <c r="BK34" s="279"/>
      <c r="BL34" s="279"/>
      <c r="BM34" s="279"/>
    </row>
    <row r="35" spans="1:65" s="263" customFormat="1" ht="300" customHeight="1" x14ac:dyDescent="0.25">
      <c r="A35" s="568"/>
      <c r="B35" s="568"/>
      <c r="C35" s="568"/>
      <c r="D35" s="568"/>
      <c r="E35" s="568"/>
      <c r="F35" s="568"/>
      <c r="G35" s="568"/>
      <c r="H35" s="568"/>
      <c r="I35" s="568"/>
      <c r="J35" s="568"/>
      <c r="K35" s="568"/>
      <c r="L35" s="67" t="s">
        <v>857</v>
      </c>
      <c r="M35" s="67" t="s">
        <v>858</v>
      </c>
      <c r="N35" s="67" t="s">
        <v>74</v>
      </c>
      <c r="O35" s="67">
        <v>35</v>
      </c>
      <c r="P35" s="68">
        <v>0.3</v>
      </c>
      <c r="Q35" s="68" t="s">
        <v>859</v>
      </c>
      <c r="R35" s="68" t="s">
        <v>860</v>
      </c>
      <c r="S35" s="68" t="s">
        <v>74</v>
      </c>
      <c r="T35" s="68">
        <v>0</v>
      </c>
      <c r="U35" s="68">
        <v>0.9</v>
      </c>
      <c r="V35" s="287">
        <v>190433866</v>
      </c>
      <c r="W35" s="656"/>
      <c r="X35" s="568"/>
      <c r="Y35" s="68">
        <v>0</v>
      </c>
      <c r="Z35" s="68">
        <v>0.9</v>
      </c>
      <c r="AA35" s="68" t="s">
        <v>732</v>
      </c>
      <c r="AB35" s="67" t="s">
        <v>861</v>
      </c>
      <c r="AC35" s="262">
        <v>0</v>
      </c>
      <c r="AD35" s="262">
        <v>0.9</v>
      </c>
      <c r="AE35" s="266" t="s">
        <v>732</v>
      </c>
      <c r="AF35" s="255" t="s">
        <v>861</v>
      </c>
      <c r="AG35" s="68">
        <v>0</v>
      </c>
      <c r="AH35" s="68">
        <v>0.9</v>
      </c>
      <c r="AI35" s="68" t="s">
        <v>732</v>
      </c>
      <c r="AJ35" s="67" t="s">
        <v>862</v>
      </c>
      <c r="AK35" s="269">
        <v>7.69230769230769E-2</v>
      </c>
      <c r="AL35" s="262">
        <v>0.9</v>
      </c>
      <c r="AM35" s="264">
        <f>AK35</f>
        <v>7.69230769230769E-2</v>
      </c>
      <c r="AN35" s="267" t="s">
        <v>863</v>
      </c>
      <c r="AO35" s="68">
        <v>0</v>
      </c>
      <c r="AP35" s="68">
        <v>0.9</v>
      </c>
      <c r="AQ35" s="68" t="s">
        <v>732</v>
      </c>
      <c r="AR35" s="67" t="s">
        <v>862</v>
      </c>
      <c r="AS35" s="269">
        <v>0.123076923076923</v>
      </c>
      <c r="AT35" s="262">
        <v>0.9</v>
      </c>
      <c r="AU35" s="264">
        <f>SUM(AS35+AM35)</f>
        <v>0.1999999999999999</v>
      </c>
      <c r="AV35" s="267" t="s">
        <v>864</v>
      </c>
      <c r="AW35" s="279"/>
      <c r="AX35" s="279"/>
      <c r="AY35" s="279"/>
      <c r="AZ35" s="279"/>
      <c r="BA35" s="279"/>
      <c r="BB35" s="279"/>
      <c r="BC35" s="279"/>
      <c r="BD35" s="279"/>
      <c r="BE35" s="279"/>
      <c r="BF35" s="279"/>
      <c r="BG35" s="279"/>
      <c r="BH35" s="279"/>
      <c r="BI35" s="279"/>
      <c r="BJ35" s="279"/>
      <c r="BK35" s="279"/>
      <c r="BL35" s="279"/>
      <c r="BM35" s="279"/>
    </row>
    <row r="36" spans="1:65" s="281" customFormat="1" ht="72.75" customHeight="1" x14ac:dyDescent="0.25">
      <c r="V36" s="282"/>
      <c r="W36" s="282"/>
      <c r="Y36" s="388" t="s">
        <v>99</v>
      </c>
      <c r="Z36" s="388"/>
      <c r="AA36" s="58">
        <f>+AVERAGE(AA33:AA35)</f>
        <v>8.7953112966888874E-2</v>
      </c>
      <c r="AC36" s="388" t="s">
        <v>866</v>
      </c>
      <c r="AD36" s="388"/>
      <c r="AE36" s="58"/>
      <c r="AG36" s="388" t="s">
        <v>865</v>
      </c>
      <c r="AH36" s="388"/>
      <c r="AI36" s="58">
        <f>+AVERAGE(AI33:AI35)</f>
        <v>0.1799671991222222</v>
      </c>
      <c r="AK36" s="388" t="s">
        <v>866</v>
      </c>
      <c r="AL36" s="388"/>
      <c r="AM36" s="58">
        <f>+AVERAGE(AM33:AM35,AM31)</f>
        <v>7.69230769230769E-2</v>
      </c>
      <c r="AO36" s="388" t="s">
        <v>865</v>
      </c>
      <c r="AP36" s="388"/>
      <c r="AQ36" s="58">
        <f>+AVERAGE(AQ33:AQ35)</f>
        <v>0.2335875</v>
      </c>
      <c r="AS36" s="388" t="s">
        <v>866</v>
      </c>
      <c r="AT36" s="388"/>
      <c r="AU36" s="58">
        <f>+AVERAGE(AU33:AU35)</f>
        <v>0.1999999999999999</v>
      </c>
    </row>
    <row r="37" spans="1:65" s="285" customFormat="1" x14ac:dyDescent="0.25">
      <c r="V37" s="286"/>
      <c r="W37" s="286"/>
    </row>
    <row r="38" spans="1:65" s="281" customFormat="1" ht="78" customHeight="1" x14ac:dyDescent="0.25">
      <c r="V38" s="282"/>
      <c r="W38" s="282"/>
      <c r="Y38" s="388" t="s">
        <v>868</v>
      </c>
      <c r="Z38" s="388"/>
      <c r="AA38" s="58">
        <f>+AVERAGE(AA13,AA17,AA22,AA28,AA32,AA36)</f>
        <v>0.29632441953357519</v>
      </c>
      <c r="AC38" s="388" t="s">
        <v>869</v>
      </c>
      <c r="AD38" s="388"/>
      <c r="AE38" s="58">
        <f>+AVERAGE(AE13,AE17,AE22,AE28,AE32,AE36)</f>
        <v>0.19347766663401592</v>
      </c>
      <c r="AG38" s="388" t="s">
        <v>868</v>
      </c>
      <c r="AH38" s="388"/>
      <c r="AI38" s="58">
        <f>+AVERAGE(AI13,AI17,AI22,AI28,AI32,AI36)</f>
        <v>0.31135830949307403</v>
      </c>
      <c r="AK38" s="388" t="s">
        <v>869</v>
      </c>
      <c r="AL38" s="388"/>
      <c r="AM38" s="58">
        <f>+AVERAGE(AM13,AM17,AM22,AM28,AM32,AM36)</f>
        <v>0.20332523474043457</v>
      </c>
      <c r="AO38" s="388" t="s">
        <v>870</v>
      </c>
      <c r="AP38" s="388"/>
      <c r="AQ38" s="58">
        <f>+AVERAGE(AQ17,AQ22,AQ28,AQ32,AQ36)</f>
        <v>0.46027721909565394</v>
      </c>
      <c r="AS38" s="388" t="s">
        <v>869</v>
      </c>
      <c r="AT38" s="388"/>
      <c r="AU38" s="58">
        <f>+AVERAGE(AU10,AU17,AU22,AU28,AU32,AU36)</f>
        <v>0.2729194977014871</v>
      </c>
    </row>
    <row r="39" spans="1:65" s="285" customFormat="1" x14ac:dyDescent="0.25">
      <c r="V39" s="286"/>
      <c r="W39" s="286"/>
    </row>
    <row r="40" spans="1:65" s="285" customFormat="1" x14ac:dyDescent="0.25">
      <c r="V40" s="286"/>
      <c r="W40" s="286"/>
    </row>
    <row r="41" spans="1:65" s="285" customFormat="1" x14ac:dyDescent="0.25">
      <c r="V41" s="286"/>
      <c r="W41" s="286"/>
    </row>
    <row r="42" spans="1:65" s="285" customFormat="1" x14ac:dyDescent="0.25">
      <c r="V42" s="286"/>
      <c r="W42" s="286"/>
    </row>
    <row r="43" spans="1:65" s="285" customFormat="1" x14ac:dyDescent="0.25">
      <c r="V43" s="286"/>
      <c r="W43" s="286"/>
    </row>
    <row r="44" spans="1:65" s="285" customFormat="1" x14ac:dyDescent="0.25">
      <c r="V44" s="286"/>
      <c r="W44" s="286"/>
    </row>
    <row r="45" spans="1:65" s="285" customFormat="1" x14ac:dyDescent="0.25">
      <c r="V45" s="286"/>
      <c r="W45" s="286"/>
    </row>
    <row r="46" spans="1:65" s="285" customFormat="1" x14ac:dyDescent="0.25">
      <c r="V46" s="286"/>
      <c r="W46" s="286"/>
    </row>
    <row r="47" spans="1:65" s="285" customFormat="1" x14ac:dyDescent="0.25">
      <c r="V47" s="286"/>
      <c r="W47" s="286"/>
    </row>
    <row r="48" spans="1:65" s="285" customFormat="1" x14ac:dyDescent="0.25">
      <c r="V48" s="286"/>
      <c r="W48" s="286"/>
    </row>
    <row r="49" spans="22:23" s="285" customFormat="1" x14ac:dyDescent="0.25">
      <c r="V49" s="286"/>
      <c r="W49" s="286"/>
    </row>
    <row r="50" spans="22:23" s="285" customFormat="1" x14ac:dyDescent="0.25">
      <c r="V50" s="286"/>
      <c r="W50" s="286"/>
    </row>
    <row r="51" spans="22:23" s="285" customFormat="1" x14ac:dyDescent="0.25">
      <c r="V51" s="286"/>
      <c r="W51" s="286"/>
    </row>
    <row r="52" spans="22:23" s="285" customFormat="1" x14ac:dyDescent="0.25">
      <c r="V52" s="286"/>
      <c r="W52" s="286"/>
    </row>
    <row r="53" spans="22:23" s="285" customFormat="1" x14ac:dyDescent="0.25">
      <c r="V53" s="286"/>
      <c r="W53" s="286"/>
    </row>
    <row r="54" spans="22:23" s="285" customFormat="1" x14ac:dyDescent="0.25">
      <c r="V54" s="286"/>
      <c r="W54" s="286"/>
    </row>
    <row r="55" spans="22:23" s="285" customFormat="1" x14ac:dyDescent="0.25">
      <c r="V55" s="286"/>
      <c r="W55" s="286"/>
    </row>
    <row r="56" spans="22:23" s="285" customFormat="1" x14ac:dyDescent="0.25">
      <c r="V56" s="286"/>
      <c r="W56" s="286"/>
    </row>
    <row r="57" spans="22:23" s="285" customFormat="1" x14ac:dyDescent="0.25">
      <c r="V57" s="286"/>
      <c r="W57" s="286"/>
    </row>
    <row r="58" spans="22:23" s="285" customFormat="1" x14ac:dyDescent="0.25">
      <c r="V58" s="286"/>
      <c r="W58" s="286"/>
    </row>
    <row r="59" spans="22:23" s="285" customFormat="1" x14ac:dyDescent="0.25">
      <c r="V59" s="286"/>
      <c r="W59" s="286"/>
    </row>
    <row r="60" spans="22:23" s="285" customFormat="1" x14ac:dyDescent="0.25">
      <c r="V60" s="286"/>
      <c r="W60" s="286"/>
    </row>
    <row r="61" spans="22:23" s="285" customFormat="1" x14ac:dyDescent="0.25">
      <c r="V61" s="286"/>
      <c r="W61" s="286"/>
    </row>
    <row r="62" spans="22:23" s="285" customFormat="1" x14ac:dyDescent="0.25">
      <c r="V62" s="286"/>
      <c r="W62" s="286"/>
    </row>
    <row r="63" spans="22:23" s="285" customFormat="1" x14ac:dyDescent="0.25">
      <c r="V63" s="286"/>
      <c r="W63" s="286"/>
    </row>
    <row r="64" spans="22:23" s="285" customFormat="1" x14ac:dyDescent="0.25">
      <c r="V64" s="286"/>
      <c r="W64" s="286"/>
    </row>
    <row r="65" spans="22:23" s="285" customFormat="1" x14ac:dyDescent="0.25">
      <c r="V65" s="286"/>
      <c r="W65" s="286"/>
    </row>
    <row r="66" spans="22:23" s="285" customFormat="1" x14ac:dyDescent="0.25">
      <c r="V66" s="286"/>
      <c r="W66" s="286"/>
    </row>
    <row r="67" spans="22:23" s="285" customFormat="1" x14ac:dyDescent="0.25">
      <c r="V67" s="286"/>
      <c r="W67" s="286"/>
    </row>
    <row r="68" spans="22:23" s="285" customFormat="1" x14ac:dyDescent="0.25">
      <c r="V68" s="286"/>
      <c r="W68" s="286"/>
    </row>
    <row r="69" spans="22:23" s="285" customFormat="1" x14ac:dyDescent="0.25">
      <c r="V69" s="286"/>
      <c r="W69" s="286"/>
    </row>
    <row r="70" spans="22:23" s="285" customFormat="1" x14ac:dyDescent="0.25">
      <c r="V70" s="286"/>
      <c r="W70" s="286"/>
    </row>
    <row r="71" spans="22:23" s="285" customFormat="1" x14ac:dyDescent="0.25">
      <c r="V71" s="286"/>
      <c r="W71" s="286"/>
    </row>
    <row r="72" spans="22:23" s="285" customFormat="1" x14ac:dyDescent="0.25">
      <c r="V72" s="286"/>
      <c r="W72" s="286"/>
    </row>
    <row r="73" spans="22:23" s="285" customFormat="1" x14ac:dyDescent="0.25">
      <c r="V73" s="286"/>
      <c r="W73" s="286"/>
    </row>
    <row r="74" spans="22:23" s="285" customFormat="1" x14ac:dyDescent="0.25">
      <c r="V74" s="286"/>
      <c r="W74" s="286"/>
    </row>
    <row r="75" spans="22:23" s="285" customFormat="1" x14ac:dyDescent="0.25">
      <c r="V75" s="286"/>
      <c r="W75" s="286"/>
    </row>
    <row r="76" spans="22:23" s="285" customFormat="1" x14ac:dyDescent="0.25">
      <c r="V76" s="286"/>
      <c r="W76" s="286"/>
    </row>
    <row r="77" spans="22:23" s="285" customFormat="1" x14ac:dyDescent="0.25">
      <c r="V77" s="286"/>
      <c r="W77" s="286"/>
    </row>
    <row r="78" spans="22:23" s="285" customFormat="1" x14ac:dyDescent="0.25">
      <c r="V78" s="286"/>
      <c r="W78" s="286"/>
    </row>
    <row r="79" spans="22:23" s="285" customFormat="1" x14ac:dyDescent="0.25">
      <c r="V79" s="286"/>
      <c r="W79" s="286"/>
    </row>
    <row r="80" spans="22:23" s="285" customFormat="1" x14ac:dyDescent="0.25">
      <c r="V80" s="286"/>
      <c r="W80" s="286"/>
    </row>
    <row r="81" spans="22:23" s="285" customFormat="1" x14ac:dyDescent="0.25">
      <c r="V81" s="286"/>
      <c r="W81" s="286"/>
    </row>
    <row r="82" spans="22:23" s="285" customFormat="1" x14ac:dyDescent="0.25">
      <c r="V82" s="286"/>
      <c r="W82" s="286"/>
    </row>
    <row r="83" spans="22:23" s="285" customFormat="1" x14ac:dyDescent="0.25">
      <c r="V83" s="286"/>
      <c r="W83" s="286"/>
    </row>
    <row r="84" spans="22:23" s="285" customFormat="1" x14ac:dyDescent="0.25">
      <c r="V84" s="286"/>
      <c r="W84" s="286"/>
    </row>
    <row r="85" spans="22:23" s="285" customFormat="1" x14ac:dyDescent="0.25">
      <c r="V85" s="286"/>
      <c r="W85" s="286"/>
    </row>
    <row r="86" spans="22:23" s="285" customFormat="1" x14ac:dyDescent="0.25">
      <c r="V86" s="286"/>
      <c r="W86" s="286"/>
    </row>
    <row r="87" spans="22:23" s="285" customFormat="1" x14ac:dyDescent="0.25">
      <c r="V87" s="286"/>
      <c r="W87" s="286"/>
    </row>
    <row r="88" spans="22:23" s="285" customFormat="1" x14ac:dyDescent="0.25">
      <c r="V88" s="286"/>
      <c r="W88" s="286"/>
    </row>
    <row r="89" spans="22:23" s="285" customFormat="1" x14ac:dyDescent="0.25">
      <c r="V89" s="286"/>
      <c r="W89" s="286"/>
    </row>
    <row r="90" spans="22:23" s="285" customFormat="1" x14ac:dyDescent="0.25">
      <c r="V90" s="286"/>
      <c r="W90" s="286"/>
    </row>
    <row r="91" spans="22:23" s="285" customFormat="1" x14ac:dyDescent="0.25">
      <c r="V91" s="286"/>
      <c r="W91" s="286"/>
    </row>
    <row r="92" spans="22:23" s="285" customFormat="1" x14ac:dyDescent="0.25">
      <c r="V92" s="286"/>
      <c r="W92" s="286"/>
    </row>
    <row r="93" spans="22:23" s="285" customFormat="1" x14ac:dyDescent="0.25">
      <c r="V93" s="286"/>
      <c r="W93" s="286"/>
    </row>
    <row r="94" spans="22:23" s="285" customFormat="1" x14ac:dyDescent="0.25">
      <c r="V94" s="286"/>
      <c r="W94" s="286"/>
    </row>
    <row r="95" spans="22:23" s="285" customFormat="1" x14ac:dyDescent="0.25">
      <c r="V95" s="286"/>
      <c r="W95" s="286"/>
    </row>
    <row r="96" spans="22:23" s="285" customFormat="1" x14ac:dyDescent="0.25">
      <c r="V96" s="286"/>
      <c r="W96" s="286"/>
    </row>
    <row r="97" spans="22:23" s="285" customFormat="1" x14ac:dyDescent="0.25">
      <c r="V97" s="286"/>
      <c r="W97" s="286"/>
    </row>
    <row r="98" spans="22:23" s="285" customFormat="1" x14ac:dyDescent="0.25">
      <c r="V98" s="286"/>
      <c r="W98" s="286"/>
    </row>
    <row r="99" spans="22:23" s="285" customFormat="1" x14ac:dyDescent="0.25">
      <c r="V99" s="286"/>
      <c r="W99" s="286"/>
    </row>
    <row r="100" spans="22:23" s="285" customFormat="1" x14ac:dyDescent="0.25">
      <c r="V100" s="286"/>
      <c r="W100" s="286"/>
    </row>
    <row r="101" spans="22:23" s="285" customFormat="1" x14ac:dyDescent="0.25">
      <c r="V101" s="286"/>
      <c r="W101" s="286"/>
    </row>
    <row r="102" spans="22:23" s="285" customFormat="1" x14ac:dyDescent="0.25">
      <c r="V102" s="286"/>
      <c r="W102" s="286"/>
    </row>
    <row r="103" spans="22:23" s="285" customFormat="1" x14ac:dyDescent="0.25">
      <c r="V103" s="286"/>
      <c r="W103" s="286"/>
    </row>
    <row r="104" spans="22:23" s="285" customFormat="1" x14ac:dyDescent="0.25">
      <c r="V104" s="286"/>
      <c r="W104" s="286"/>
    </row>
    <row r="105" spans="22:23" s="285" customFormat="1" x14ac:dyDescent="0.25">
      <c r="V105" s="286"/>
      <c r="W105" s="286"/>
    </row>
    <row r="106" spans="22:23" s="285" customFormat="1" x14ac:dyDescent="0.25">
      <c r="V106" s="286"/>
      <c r="W106" s="286"/>
    </row>
    <row r="107" spans="22:23" s="285" customFormat="1" x14ac:dyDescent="0.25">
      <c r="V107" s="286"/>
      <c r="W107" s="286"/>
    </row>
    <row r="108" spans="22:23" s="285" customFormat="1" x14ac:dyDescent="0.25">
      <c r="V108" s="286"/>
      <c r="W108" s="286"/>
    </row>
    <row r="109" spans="22:23" s="285" customFormat="1" x14ac:dyDescent="0.25">
      <c r="V109" s="286"/>
      <c r="W109" s="286"/>
    </row>
    <row r="110" spans="22:23" s="285" customFormat="1" x14ac:dyDescent="0.25">
      <c r="V110" s="286"/>
      <c r="W110" s="286"/>
    </row>
    <row r="111" spans="22:23" s="285" customFormat="1" x14ac:dyDescent="0.25">
      <c r="V111" s="286"/>
      <c r="W111" s="286"/>
    </row>
    <row r="112" spans="22:23" s="285" customFormat="1" x14ac:dyDescent="0.25">
      <c r="V112" s="286"/>
      <c r="W112" s="286"/>
    </row>
    <row r="113" spans="22:23" s="285" customFormat="1" x14ac:dyDescent="0.25">
      <c r="V113" s="286"/>
      <c r="W113" s="286"/>
    </row>
    <row r="114" spans="22:23" s="285" customFormat="1" x14ac:dyDescent="0.25">
      <c r="V114" s="286"/>
      <c r="W114" s="286"/>
    </row>
    <row r="115" spans="22:23" s="285" customFormat="1" x14ac:dyDescent="0.25">
      <c r="V115" s="286"/>
      <c r="W115" s="286"/>
    </row>
    <row r="116" spans="22:23" s="285" customFormat="1" x14ac:dyDescent="0.25">
      <c r="V116" s="286"/>
      <c r="W116" s="286"/>
    </row>
    <row r="117" spans="22:23" s="285" customFormat="1" x14ac:dyDescent="0.25">
      <c r="V117" s="286"/>
      <c r="W117" s="286"/>
    </row>
  </sheetData>
  <sheetProtection algorithmName="SHA-512" hashValue="vDou3oZM/80nwL+dAa/HSARw0ckTIHY8fXEqBI595hzGQIcU1s09K88KzCH/AmR5kiJK5IS6J9cGLpnXwkfS5Q==" saltValue="zyH+Uv459OdWHMIjSkYndw==" spinCount="100000" sheet="1" objects="1" scenarios="1" selectLockedCells="1" selectUnlockedCells="1"/>
  <mergeCells count="178">
    <mergeCell ref="C1:X3"/>
    <mergeCell ref="A4:K4"/>
    <mergeCell ref="L4:P5"/>
    <mergeCell ref="Q4:U5"/>
    <mergeCell ref="V4:W5"/>
    <mergeCell ref="X4:X5"/>
    <mergeCell ref="Y4:AF4"/>
    <mergeCell ref="AG4:AN4"/>
    <mergeCell ref="AO4:AV4"/>
    <mergeCell ref="A5:C5"/>
    <mergeCell ref="E5:F5"/>
    <mergeCell ref="G5:I5"/>
    <mergeCell ref="J5:J6"/>
    <mergeCell ref="K5:K6"/>
    <mergeCell ref="Y5:AB5"/>
    <mergeCell ref="AC5:AF5"/>
    <mergeCell ref="AG5:AJ5"/>
    <mergeCell ref="AK5:AN5"/>
    <mergeCell ref="AO5:AR5"/>
    <mergeCell ref="AS5:AV5"/>
    <mergeCell ref="A7:A12"/>
    <mergeCell ref="B7:B12"/>
    <mergeCell ref="C7:C8"/>
    <mergeCell ref="D7:D8"/>
    <mergeCell ref="E7:E8"/>
    <mergeCell ref="F7:F8"/>
    <mergeCell ref="X7:X12"/>
    <mergeCell ref="L9:L11"/>
    <mergeCell ref="M9:M11"/>
    <mergeCell ref="N9:N11"/>
    <mergeCell ref="O9:O11"/>
    <mergeCell ref="P9:P11"/>
    <mergeCell ref="V9:V11"/>
    <mergeCell ref="G7:G8"/>
    <mergeCell ref="H7:H8"/>
    <mergeCell ref="I7:I8"/>
    <mergeCell ref="J7:J12"/>
    <mergeCell ref="K7:K12"/>
    <mergeCell ref="W7:W35"/>
    <mergeCell ref="I10:I12"/>
    <mergeCell ref="G14:G16"/>
    <mergeCell ref="H14:H16"/>
    <mergeCell ref="I14:I16"/>
    <mergeCell ref="J14:J16"/>
    <mergeCell ref="Y13:Z13"/>
    <mergeCell ref="AC13:AD13"/>
    <mergeCell ref="AG13:AH13"/>
    <mergeCell ref="AK13:AL13"/>
    <mergeCell ref="AO13:AP13"/>
    <mergeCell ref="AS13:AT13"/>
    <mergeCell ref="C10:C12"/>
    <mergeCell ref="D10:D12"/>
    <mergeCell ref="E10:E12"/>
    <mergeCell ref="F10:F12"/>
    <mergeCell ref="G10:G12"/>
    <mergeCell ref="H10:H12"/>
    <mergeCell ref="AI9:AI11"/>
    <mergeCell ref="AJ9:AJ11"/>
    <mergeCell ref="AO9:AO11"/>
    <mergeCell ref="AP9:AP11"/>
    <mergeCell ref="AQ9:AQ11"/>
    <mergeCell ref="AR9:AR11"/>
    <mergeCell ref="Y9:Y11"/>
    <mergeCell ref="Z9:Z11"/>
    <mergeCell ref="AA9:AA11"/>
    <mergeCell ref="AB9:AB11"/>
    <mergeCell ref="AG9:AG11"/>
    <mergeCell ref="AH9:AH11"/>
    <mergeCell ref="K14:K16"/>
    <mergeCell ref="X14:X16"/>
    <mergeCell ref="Y17:Z17"/>
    <mergeCell ref="AC17:AD17"/>
    <mergeCell ref="AG17:AH17"/>
    <mergeCell ref="A14:A16"/>
    <mergeCell ref="B14:B16"/>
    <mergeCell ref="C14:C16"/>
    <mergeCell ref="D14:D16"/>
    <mergeCell ref="E14:E16"/>
    <mergeCell ref="F14:F16"/>
    <mergeCell ref="AK17:AL17"/>
    <mergeCell ref="AO17:AP17"/>
    <mergeCell ref="AS17:AT17"/>
    <mergeCell ref="A18:A21"/>
    <mergeCell ref="B18:B21"/>
    <mergeCell ref="C18:C21"/>
    <mergeCell ref="D18:D21"/>
    <mergeCell ref="E18:E21"/>
    <mergeCell ref="F18:F21"/>
    <mergeCell ref="G18:G21"/>
    <mergeCell ref="AO22:AP22"/>
    <mergeCell ref="AS22:AT22"/>
    <mergeCell ref="A23:A27"/>
    <mergeCell ref="B23:B27"/>
    <mergeCell ref="C23:C27"/>
    <mergeCell ref="D23:D27"/>
    <mergeCell ref="E23:E27"/>
    <mergeCell ref="H18:H21"/>
    <mergeCell ref="I18:I21"/>
    <mergeCell ref="J18:J21"/>
    <mergeCell ref="K18:K21"/>
    <mergeCell ref="X18:X21"/>
    <mergeCell ref="Y22:Z22"/>
    <mergeCell ref="F23:F27"/>
    <mergeCell ref="G23:G27"/>
    <mergeCell ref="H23:H27"/>
    <mergeCell ref="I23:I27"/>
    <mergeCell ref="J23:J27"/>
    <mergeCell ref="K23:K27"/>
    <mergeCell ref="AC22:AD22"/>
    <mergeCell ref="AG22:AH22"/>
    <mergeCell ref="AK22:AL22"/>
    <mergeCell ref="Y24:Y27"/>
    <mergeCell ref="Z24:Z27"/>
    <mergeCell ref="AA24:AA27"/>
    <mergeCell ref="AB24:AB27"/>
    <mergeCell ref="AG24:AG27"/>
    <mergeCell ref="AH24:AH27"/>
    <mergeCell ref="X23:X27"/>
    <mergeCell ref="L24:L27"/>
    <mergeCell ref="M24:M27"/>
    <mergeCell ref="N24:N27"/>
    <mergeCell ref="O24:O27"/>
    <mergeCell ref="P24:P27"/>
    <mergeCell ref="V24:V27"/>
    <mergeCell ref="AK28:AL28"/>
    <mergeCell ref="AO28:AP28"/>
    <mergeCell ref="AS28:AT28"/>
    <mergeCell ref="AI24:AI27"/>
    <mergeCell ref="AJ24:AJ27"/>
    <mergeCell ref="AO24:AO27"/>
    <mergeCell ref="AP24:AP27"/>
    <mergeCell ref="AQ24:AQ27"/>
    <mergeCell ref="AR24:AR27"/>
    <mergeCell ref="A29:A31"/>
    <mergeCell ref="B29:B31"/>
    <mergeCell ref="C29:C31"/>
    <mergeCell ref="D29:D31"/>
    <mergeCell ref="E29:E31"/>
    <mergeCell ref="F29:F31"/>
    <mergeCell ref="Y28:Z28"/>
    <mergeCell ref="AC28:AD28"/>
    <mergeCell ref="AG28:AH28"/>
    <mergeCell ref="Y32:Z32"/>
    <mergeCell ref="AC32:AD32"/>
    <mergeCell ref="AG32:AH32"/>
    <mergeCell ref="AK32:AL32"/>
    <mergeCell ref="AO32:AP32"/>
    <mergeCell ref="AS32:AT32"/>
    <mergeCell ref="G29:G31"/>
    <mergeCell ref="H29:H31"/>
    <mergeCell ref="I29:I31"/>
    <mergeCell ref="J29:J31"/>
    <mergeCell ref="K29:K31"/>
    <mergeCell ref="X29:X31"/>
    <mergeCell ref="G33:G35"/>
    <mergeCell ref="H33:H35"/>
    <mergeCell ref="I33:I35"/>
    <mergeCell ref="J33:J35"/>
    <mergeCell ref="K33:K35"/>
    <mergeCell ref="X33:X35"/>
    <mergeCell ref="A33:A35"/>
    <mergeCell ref="B33:B35"/>
    <mergeCell ref="C33:C35"/>
    <mergeCell ref="D33:D35"/>
    <mergeCell ref="E33:E35"/>
    <mergeCell ref="F33:F35"/>
    <mergeCell ref="Y38:Z38"/>
    <mergeCell ref="AC38:AD38"/>
    <mergeCell ref="AG38:AH38"/>
    <mergeCell ref="AK38:AL38"/>
    <mergeCell ref="AO38:AP38"/>
    <mergeCell ref="AS38:AT38"/>
    <mergeCell ref="Y36:Z36"/>
    <mergeCell ref="AC36:AD36"/>
    <mergeCell ref="AG36:AH36"/>
    <mergeCell ref="AK36:AL36"/>
    <mergeCell ref="AO36:AP36"/>
    <mergeCell ref="AS36:AT3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4EB95-D66F-4470-8A06-D8484429BBD4}">
  <sheetPr>
    <tabColor theme="4"/>
  </sheetPr>
  <dimension ref="A1:BQ18"/>
  <sheetViews>
    <sheetView topLeftCell="AQ1" zoomScaleNormal="100" workbookViewId="0">
      <selection activeCell="AX16" sqref="AX16"/>
    </sheetView>
  </sheetViews>
  <sheetFormatPr baseColWidth="10" defaultRowHeight="15" x14ac:dyDescent="0.25"/>
  <cols>
    <col min="1" max="1" width="15.5703125" customWidth="1"/>
    <col min="2" max="2" width="17.28515625" customWidth="1"/>
    <col min="3" max="3" width="20.85546875" customWidth="1"/>
    <col min="4" max="4" width="20.5703125" customWidth="1"/>
    <col min="5" max="5" width="17.140625" customWidth="1"/>
    <col min="6" max="6" width="18" customWidth="1"/>
    <col min="7" max="7" width="18.85546875" customWidth="1"/>
    <col min="8" max="8" width="16" customWidth="1"/>
    <col min="9" max="9" width="13.85546875" customWidth="1"/>
    <col min="10" max="10" width="15.140625" customWidth="1"/>
    <col min="11" max="11" width="13.7109375" customWidth="1"/>
    <col min="12" max="12" width="23.28515625" customWidth="1"/>
    <col min="13" max="13" width="19.28515625" customWidth="1"/>
    <col min="17" max="17" width="21.42578125" customWidth="1"/>
    <col min="18" max="18" width="16.85546875" customWidth="1"/>
    <col min="20" max="20" width="18.5703125" bestFit="1" customWidth="1"/>
    <col min="22" max="22" width="17" customWidth="1"/>
    <col min="23" max="24" width="20.85546875" customWidth="1"/>
    <col min="25" max="25" width="15.5703125" customWidth="1"/>
    <col min="26" max="26" width="15.7109375" customWidth="1"/>
    <col min="28" max="28" width="36.85546875" customWidth="1"/>
    <col min="29" max="29" width="15.85546875" customWidth="1"/>
    <col min="30" max="30" width="16.85546875" customWidth="1"/>
    <col min="32" max="32" width="53" customWidth="1"/>
    <col min="33" max="34" width="15.140625" customWidth="1"/>
    <col min="35" max="35" width="15.42578125" customWidth="1"/>
    <col min="36" max="36" width="40.85546875" customWidth="1"/>
    <col min="37" max="37" width="15.28515625" bestFit="1" customWidth="1"/>
    <col min="38" max="38" width="18.5703125" bestFit="1" customWidth="1"/>
    <col min="39" max="39" width="14.140625" customWidth="1"/>
    <col min="40" max="40" width="44.140625" customWidth="1"/>
    <col min="41" max="41" width="18.5703125" customWidth="1"/>
    <col min="42" max="42" width="16.42578125" customWidth="1"/>
    <col min="44" max="44" width="42.5703125" customWidth="1"/>
    <col min="45" max="45" width="20.28515625" customWidth="1"/>
    <col min="46" max="46" width="18.140625" customWidth="1"/>
    <col min="48" max="48" width="48" customWidth="1"/>
    <col min="49" max="69" width="11.42578125" style="306"/>
  </cols>
  <sheetData>
    <row r="1" spans="1:69" s="1" customFormat="1" ht="15.75" x14ac:dyDescent="0.25">
      <c r="C1" s="413" t="s">
        <v>0</v>
      </c>
      <c r="D1" s="413"/>
      <c r="E1" s="413"/>
      <c r="F1" s="413"/>
      <c r="G1" s="413"/>
      <c r="H1" s="413"/>
      <c r="I1" s="413"/>
      <c r="J1" s="413"/>
      <c r="K1" s="413"/>
      <c r="L1" s="413"/>
      <c r="M1" s="413"/>
      <c r="N1" s="413"/>
      <c r="O1" s="413"/>
      <c r="P1" s="413"/>
      <c r="Q1" s="413"/>
      <c r="R1" s="413"/>
      <c r="S1" s="413"/>
      <c r="T1" s="413"/>
      <c r="U1" s="413"/>
      <c r="V1" s="413"/>
      <c r="W1" s="413"/>
      <c r="X1" s="413"/>
      <c r="AE1" s="2"/>
      <c r="AF1" s="3"/>
      <c r="AM1" s="2"/>
      <c r="AN1" s="3"/>
      <c r="AU1" s="4" t="s">
        <v>1</v>
      </c>
      <c r="AV1" s="5">
        <v>43458</v>
      </c>
    </row>
    <row r="2" spans="1:69" s="1" customFormat="1" ht="30" customHeight="1" x14ac:dyDescent="0.25">
      <c r="C2" s="413"/>
      <c r="D2" s="413"/>
      <c r="E2" s="413"/>
      <c r="F2" s="413"/>
      <c r="G2" s="413"/>
      <c r="H2" s="413"/>
      <c r="I2" s="413"/>
      <c r="J2" s="413"/>
      <c r="K2" s="413"/>
      <c r="L2" s="413"/>
      <c r="M2" s="413"/>
      <c r="N2" s="413"/>
      <c r="O2" s="413"/>
      <c r="P2" s="413"/>
      <c r="Q2" s="413"/>
      <c r="R2" s="413"/>
      <c r="S2" s="413"/>
      <c r="T2" s="413"/>
      <c r="U2" s="413"/>
      <c r="V2" s="413"/>
      <c r="W2" s="413"/>
      <c r="X2" s="413"/>
      <c r="AE2" s="2"/>
      <c r="AF2" s="2"/>
      <c r="AM2" s="2"/>
      <c r="AN2" s="2"/>
      <c r="AU2" s="4" t="s">
        <v>2</v>
      </c>
      <c r="AV2" s="4">
        <v>5</v>
      </c>
    </row>
    <row r="3" spans="1:69" s="1" customFormat="1" ht="29.25" customHeight="1" thickBot="1" x14ac:dyDescent="0.3">
      <c r="C3" s="413"/>
      <c r="D3" s="413"/>
      <c r="E3" s="413"/>
      <c r="F3" s="413"/>
      <c r="G3" s="413"/>
      <c r="H3" s="413"/>
      <c r="I3" s="413"/>
      <c r="J3" s="413"/>
      <c r="K3" s="413"/>
      <c r="L3" s="413"/>
      <c r="M3" s="413"/>
      <c r="N3" s="413"/>
      <c r="O3" s="413"/>
      <c r="P3" s="413"/>
      <c r="Q3" s="413"/>
      <c r="R3" s="413"/>
      <c r="S3" s="413"/>
      <c r="T3" s="413"/>
      <c r="U3" s="413"/>
      <c r="V3" s="413"/>
      <c r="W3" s="413"/>
      <c r="X3" s="413"/>
      <c r="AE3" s="2"/>
      <c r="AF3" s="2"/>
      <c r="AM3" s="2"/>
      <c r="AN3" s="2"/>
      <c r="AU3" s="4" t="s">
        <v>3</v>
      </c>
      <c r="AV3" s="4" t="s">
        <v>4</v>
      </c>
    </row>
    <row r="4" spans="1:69" s="204" customFormat="1" x14ac:dyDescent="0.25">
      <c r="A4" s="414" t="s">
        <v>5</v>
      </c>
      <c r="B4" s="415"/>
      <c r="C4" s="415"/>
      <c r="D4" s="415"/>
      <c r="E4" s="415"/>
      <c r="F4" s="415"/>
      <c r="G4" s="415"/>
      <c r="H4" s="415"/>
      <c r="I4" s="415"/>
      <c r="J4" s="415"/>
      <c r="K4" s="416"/>
      <c r="L4" s="417" t="s">
        <v>6</v>
      </c>
      <c r="M4" s="418"/>
      <c r="N4" s="418"/>
      <c r="O4" s="418"/>
      <c r="P4" s="419"/>
      <c r="Q4" s="417" t="s">
        <v>7</v>
      </c>
      <c r="R4" s="418"/>
      <c r="S4" s="418"/>
      <c r="T4" s="418"/>
      <c r="U4" s="419"/>
      <c r="V4" s="429" t="s">
        <v>8</v>
      </c>
      <c r="W4" s="430"/>
      <c r="X4" s="417" t="s">
        <v>9</v>
      </c>
      <c r="Y4" s="657" t="s">
        <v>601</v>
      </c>
      <c r="Z4" s="658"/>
      <c r="AA4" s="658"/>
      <c r="AB4" s="658"/>
      <c r="AC4" s="658"/>
      <c r="AD4" s="658"/>
      <c r="AE4" s="658"/>
      <c r="AF4" s="659"/>
      <c r="AG4" s="657" t="s">
        <v>602</v>
      </c>
      <c r="AH4" s="658"/>
      <c r="AI4" s="658"/>
      <c r="AJ4" s="658"/>
      <c r="AK4" s="658"/>
      <c r="AL4" s="658"/>
      <c r="AM4" s="658"/>
      <c r="AN4" s="659"/>
      <c r="AO4" s="657" t="s">
        <v>603</v>
      </c>
      <c r="AP4" s="658"/>
      <c r="AQ4" s="658"/>
      <c r="AR4" s="658"/>
      <c r="AS4" s="658"/>
      <c r="AT4" s="658"/>
      <c r="AU4" s="658"/>
      <c r="AV4" s="659"/>
      <c r="AW4" s="277"/>
      <c r="AX4" s="277"/>
      <c r="AY4" s="277"/>
      <c r="AZ4" s="277"/>
      <c r="BA4" s="277"/>
      <c r="BB4" s="277"/>
      <c r="BC4" s="277"/>
      <c r="BD4" s="277"/>
      <c r="BE4" s="277"/>
      <c r="BF4" s="277"/>
      <c r="BG4" s="277"/>
      <c r="BH4" s="277"/>
      <c r="BI4" s="277"/>
      <c r="BJ4" s="277"/>
      <c r="BK4" s="277"/>
      <c r="BL4" s="277"/>
      <c r="BM4" s="277"/>
      <c r="BN4" s="277"/>
      <c r="BO4" s="277"/>
      <c r="BP4" s="277"/>
      <c r="BQ4" s="277"/>
    </row>
    <row r="5" spans="1:69" s="206" customFormat="1" ht="30" x14ac:dyDescent="0.25">
      <c r="A5" s="406" t="s">
        <v>13</v>
      </c>
      <c r="B5" s="407"/>
      <c r="C5" s="408"/>
      <c r="D5" s="205" t="s">
        <v>14</v>
      </c>
      <c r="E5" s="406" t="s">
        <v>15</v>
      </c>
      <c r="F5" s="408"/>
      <c r="G5" s="406" t="s">
        <v>16</v>
      </c>
      <c r="H5" s="407"/>
      <c r="I5" s="408"/>
      <c r="J5" s="409" t="s">
        <v>17</v>
      </c>
      <c r="K5" s="409" t="s">
        <v>18</v>
      </c>
      <c r="L5" s="403"/>
      <c r="M5" s="404"/>
      <c r="N5" s="404"/>
      <c r="O5" s="404"/>
      <c r="P5" s="405"/>
      <c r="Q5" s="403"/>
      <c r="R5" s="404"/>
      <c r="S5" s="404"/>
      <c r="T5" s="404"/>
      <c r="U5" s="405"/>
      <c r="V5" s="431"/>
      <c r="W5" s="432"/>
      <c r="X5" s="403"/>
      <c r="Y5" s="660" t="s">
        <v>19</v>
      </c>
      <c r="Z5" s="407"/>
      <c r="AA5" s="407"/>
      <c r="AB5" s="411"/>
      <c r="AC5" s="412" t="s">
        <v>20</v>
      </c>
      <c r="AD5" s="407"/>
      <c r="AE5" s="407"/>
      <c r="AF5" s="661"/>
      <c r="AG5" s="660" t="s">
        <v>19</v>
      </c>
      <c r="AH5" s="407"/>
      <c r="AI5" s="407"/>
      <c r="AJ5" s="411"/>
      <c r="AK5" s="412" t="s">
        <v>20</v>
      </c>
      <c r="AL5" s="407"/>
      <c r="AM5" s="407"/>
      <c r="AN5" s="661"/>
      <c r="AO5" s="660" t="s">
        <v>19</v>
      </c>
      <c r="AP5" s="407"/>
      <c r="AQ5" s="407"/>
      <c r="AR5" s="411"/>
      <c r="AS5" s="412" t="s">
        <v>20</v>
      </c>
      <c r="AT5" s="407"/>
      <c r="AU5" s="407"/>
      <c r="AV5" s="661"/>
      <c r="AW5" s="277"/>
      <c r="AX5" s="277"/>
      <c r="AY5" s="277"/>
      <c r="AZ5" s="277"/>
      <c r="BA5" s="277"/>
      <c r="BB5" s="277"/>
      <c r="BC5" s="277"/>
      <c r="BD5" s="277"/>
      <c r="BE5" s="277"/>
      <c r="BF5" s="277"/>
      <c r="BG5" s="277"/>
      <c r="BH5" s="277"/>
      <c r="BI5" s="277"/>
      <c r="BJ5" s="277"/>
      <c r="BK5" s="277"/>
      <c r="BL5" s="277"/>
      <c r="BM5" s="277"/>
      <c r="BN5" s="277"/>
      <c r="BO5" s="277"/>
      <c r="BP5" s="277"/>
      <c r="BQ5" s="277"/>
    </row>
    <row r="6" spans="1:69" s="204" customFormat="1" ht="45" x14ac:dyDescent="0.25">
      <c r="A6" s="247" t="s">
        <v>21</v>
      </c>
      <c r="B6" s="247" t="s">
        <v>22</v>
      </c>
      <c r="C6" s="247" t="s">
        <v>23</v>
      </c>
      <c r="D6" s="247" t="s">
        <v>24</v>
      </c>
      <c r="E6" s="247" t="s">
        <v>25</v>
      </c>
      <c r="F6" s="247" t="s">
        <v>26</v>
      </c>
      <c r="G6" s="247" t="s">
        <v>27</v>
      </c>
      <c r="H6" s="247" t="s">
        <v>28</v>
      </c>
      <c r="I6" s="247" t="s">
        <v>29</v>
      </c>
      <c r="J6" s="410"/>
      <c r="K6" s="410"/>
      <c r="L6" s="247" t="s">
        <v>6</v>
      </c>
      <c r="M6" s="247" t="s">
        <v>30</v>
      </c>
      <c r="N6" s="247" t="s">
        <v>31</v>
      </c>
      <c r="O6" s="247" t="s">
        <v>32</v>
      </c>
      <c r="P6" s="247" t="s">
        <v>33</v>
      </c>
      <c r="Q6" s="247" t="s">
        <v>7</v>
      </c>
      <c r="R6" s="247" t="s">
        <v>34</v>
      </c>
      <c r="S6" s="247" t="s">
        <v>31</v>
      </c>
      <c r="T6" s="247" t="s">
        <v>32</v>
      </c>
      <c r="U6" s="247" t="s">
        <v>35</v>
      </c>
      <c r="V6" s="248" t="s">
        <v>36</v>
      </c>
      <c r="W6" s="248" t="s">
        <v>37</v>
      </c>
      <c r="X6" s="249" t="s">
        <v>38</v>
      </c>
      <c r="Y6" s="250" t="s">
        <v>39</v>
      </c>
      <c r="Z6" s="247" t="s">
        <v>40</v>
      </c>
      <c r="AA6" s="247" t="s">
        <v>41</v>
      </c>
      <c r="AB6" s="247" t="s">
        <v>42</v>
      </c>
      <c r="AC6" s="247" t="s">
        <v>39</v>
      </c>
      <c r="AD6" s="247" t="s">
        <v>40</v>
      </c>
      <c r="AE6" s="247" t="s">
        <v>41</v>
      </c>
      <c r="AF6" s="251" t="s">
        <v>42</v>
      </c>
      <c r="AG6" s="250" t="s">
        <v>39</v>
      </c>
      <c r="AH6" s="247" t="s">
        <v>40</v>
      </c>
      <c r="AI6" s="247" t="s">
        <v>41</v>
      </c>
      <c r="AJ6" s="247" t="s">
        <v>42</v>
      </c>
      <c r="AK6" s="247" t="s">
        <v>39</v>
      </c>
      <c r="AL6" s="247" t="s">
        <v>40</v>
      </c>
      <c r="AM6" s="247" t="s">
        <v>41</v>
      </c>
      <c r="AN6" s="251" t="s">
        <v>42</v>
      </c>
      <c r="AO6" s="250" t="s">
        <v>39</v>
      </c>
      <c r="AP6" s="247" t="s">
        <v>40</v>
      </c>
      <c r="AQ6" s="247" t="s">
        <v>41</v>
      </c>
      <c r="AR6" s="247" t="s">
        <v>42</v>
      </c>
      <c r="AS6" s="247" t="s">
        <v>39</v>
      </c>
      <c r="AT6" s="247" t="s">
        <v>40</v>
      </c>
      <c r="AU6" s="247" t="s">
        <v>41</v>
      </c>
      <c r="AV6" s="251" t="s">
        <v>42</v>
      </c>
      <c r="AW6" s="277"/>
      <c r="AX6" s="277"/>
      <c r="AY6" s="277"/>
      <c r="AZ6" s="277"/>
      <c r="BA6" s="277"/>
      <c r="BB6" s="277"/>
      <c r="BC6" s="277"/>
      <c r="BD6" s="277"/>
      <c r="BE6" s="277"/>
      <c r="BF6" s="277"/>
      <c r="BG6" s="277"/>
      <c r="BH6" s="277"/>
      <c r="BI6" s="277"/>
      <c r="BJ6" s="277"/>
      <c r="BK6" s="277"/>
      <c r="BL6" s="277"/>
      <c r="BM6" s="277"/>
      <c r="BN6" s="277"/>
      <c r="BO6" s="277"/>
      <c r="BP6" s="277"/>
      <c r="BQ6" s="277"/>
    </row>
    <row r="7" spans="1:69" s="252" customFormat="1" ht="90" customHeight="1" x14ac:dyDescent="0.25">
      <c r="A7" s="567" t="s">
        <v>43</v>
      </c>
      <c r="B7" s="567" t="s">
        <v>44</v>
      </c>
      <c r="C7" s="567" t="s">
        <v>45</v>
      </c>
      <c r="D7" s="567" t="s">
        <v>46</v>
      </c>
      <c r="E7" s="567" t="s">
        <v>71</v>
      </c>
      <c r="F7" s="567" t="s">
        <v>48</v>
      </c>
      <c r="G7" s="567" t="s">
        <v>49</v>
      </c>
      <c r="H7" s="567" t="s">
        <v>604</v>
      </c>
      <c r="I7" s="567" t="s">
        <v>590</v>
      </c>
      <c r="J7" s="567" t="s">
        <v>605</v>
      </c>
      <c r="K7" s="567" t="s">
        <v>606</v>
      </c>
      <c r="L7" s="567" t="s">
        <v>607</v>
      </c>
      <c r="M7" s="567" t="s">
        <v>608</v>
      </c>
      <c r="N7" s="567" t="s">
        <v>56</v>
      </c>
      <c r="O7" s="567">
        <v>549</v>
      </c>
      <c r="P7" s="567">
        <v>734</v>
      </c>
      <c r="Q7" s="80" t="s">
        <v>609</v>
      </c>
      <c r="R7" s="80" t="s">
        <v>610</v>
      </c>
      <c r="S7" s="80" t="s">
        <v>56</v>
      </c>
      <c r="T7" s="80">
        <v>265</v>
      </c>
      <c r="U7" s="80">
        <v>300</v>
      </c>
      <c r="V7" s="667">
        <v>5164199326</v>
      </c>
      <c r="W7" s="655">
        <v>8805126266</v>
      </c>
      <c r="X7" s="567" t="s">
        <v>611</v>
      </c>
      <c r="Y7" s="567">
        <f>+AC7+AC9</f>
        <v>60</v>
      </c>
      <c r="Z7" s="567">
        <f>+AD7+AD9</f>
        <v>690</v>
      </c>
      <c r="AA7" s="664">
        <f>+Y7/Z7</f>
        <v>8.6956521739130432E-2</v>
      </c>
      <c r="AB7" s="567" t="s">
        <v>612</v>
      </c>
      <c r="AC7" s="80">
        <v>27</v>
      </c>
      <c r="AD7" s="80">
        <v>300</v>
      </c>
      <c r="AE7" s="81">
        <f>+AC7/AD7</f>
        <v>0.09</v>
      </c>
      <c r="AF7" s="80" t="s">
        <v>613</v>
      </c>
      <c r="AG7" s="567">
        <f>+Y7+AK7+AK8+AK9</f>
        <v>120</v>
      </c>
      <c r="AH7" s="567">
        <v>734</v>
      </c>
      <c r="AI7" s="664">
        <f>+AG7/AH7</f>
        <v>0.16348773841961853</v>
      </c>
      <c r="AJ7" s="567" t="s">
        <v>614</v>
      </c>
      <c r="AK7" s="80">
        <v>22</v>
      </c>
      <c r="AL7" s="80">
        <v>300</v>
      </c>
      <c r="AM7" s="81">
        <f>+AK7/AL7</f>
        <v>7.3333333333333334E-2</v>
      </c>
      <c r="AN7" s="80" t="s">
        <v>615</v>
      </c>
      <c r="AO7" s="567">
        <f>+AG7+AS7+AS8+AS9</f>
        <v>185</v>
      </c>
      <c r="AP7" s="567">
        <v>734</v>
      </c>
      <c r="AQ7" s="664">
        <f>+AO7/AP7</f>
        <v>0.25204359673024523</v>
      </c>
      <c r="AR7" s="567" t="s">
        <v>616</v>
      </c>
      <c r="AS7" s="80">
        <v>27</v>
      </c>
      <c r="AT7" s="80">
        <v>300</v>
      </c>
      <c r="AU7" s="81">
        <f>+AS7/AT7</f>
        <v>0.09</v>
      </c>
      <c r="AV7" s="80" t="s">
        <v>617</v>
      </c>
      <c r="AW7" s="302"/>
      <c r="AX7" s="302"/>
      <c r="AY7" s="302"/>
      <c r="AZ7" s="302"/>
      <c r="BA7" s="302"/>
      <c r="BB7" s="302"/>
      <c r="BC7" s="302"/>
      <c r="BD7" s="302"/>
      <c r="BE7" s="302"/>
      <c r="BF7" s="302"/>
      <c r="BG7" s="302"/>
      <c r="BH7" s="302"/>
      <c r="BI7" s="302"/>
      <c r="BJ7" s="302"/>
      <c r="BK7" s="302"/>
      <c r="BL7" s="302"/>
      <c r="BM7" s="302"/>
      <c r="BN7" s="302"/>
      <c r="BO7" s="302"/>
      <c r="BP7" s="302"/>
      <c r="BQ7" s="302"/>
    </row>
    <row r="8" spans="1:69" s="252" customFormat="1" ht="90" customHeight="1" x14ac:dyDescent="0.25">
      <c r="A8" s="642"/>
      <c r="B8" s="642"/>
      <c r="C8" s="642"/>
      <c r="D8" s="642"/>
      <c r="E8" s="642"/>
      <c r="F8" s="642"/>
      <c r="G8" s="642"/>
      <c r="H8" s="642"/>
      <c r="I8" s="642"/>
      <c r="J8" s="642"/>
      <c r="K8" s="642"/>
      <c r="L8" s="642"/>
      <c r="M8" s="642"/>
      <c r="N8" s="642"/>
      <c r="O8" s="642"/>
      <c r="P8" s="642"/>
      <c r="Q8" s="67" t="s">
        <v>618</v>
      </c>
      <c r="R8" s="67" t="s">
        <v>619</v>
      </c>
      <c r="S8" s="67" t="s">
        <v>56</v>
      </c>
      <c r="T8" s="67"/>
      <c r="U8" s="67">
        <v>44</v>
      </c>
      <c r="V8" s="668"/>
      <c r="W8" s="656"/>
      <c r="X8" s="642"/>
      <c r="Y8" s="642"/>
      <c r="Z8" s="642"/>
      <c r="AA8" s="665"/>
      <c r="AB8" s="642"/>
      <c r="AC8" s="67"/>
      <c r="AD8" s="67"/>
      <c r="AE8" s="68"/>
      <c r="AF8" s="67" t="s">
        <v>620</v>
      </c>
      <c r="AG8" s="642"/>
      <c r="AH8" s="642"/>
      <c r="AI8" s="665"/>
      <c r="AJ8" s="642"/>
      <c r="AK8" s="67">
        <v>4</v>
      </c>
      <c r="AL8" s="67">
        <v>44</v>
      </c>
      <c r="AM8" s="68">
        <f>+AK8/AL8</f>
        <v>9.0909090909090912E-2</v>
      </c>
      <c r="AN8" s="67" t="s">
        <v>621</v>
      </c>
      <c r="AO8" s="642"/>
      <c r="AP8" s="642"/>
      <c r="AQ8" s="665"/>
      <c r="AR8" s="642"/>
      <c r="AS8" s="67">
        <v>5</v>
      </c>
      <c r="AT8" s="67">
        <v>44</v>
      </c>
      <c r="AU8" s="68">
        <f>+AS8/AT8</f>
        <v>0.11363636363636363</v>
      </c>
      <c r="AV8" s="67" t="s">
        <v>622</v>
      </c>
      <c r="AW8" s="302"/>
      <c r="AX8" s="302"/>
      <c r="AY8" s="302"/>
      <c r="AZ8" s="302"/>
      <c r="BA8" s="302"/>
      <c r="BB8" s="302"/>
      <c r="BC8" s="302"/>
      <c r="BD8" s="302"/>
      <c r="BE8" s="302"/>
      <c r="BF8" s="302"/>
      <c r="BG8" s="302"/>
      <c r="BH8" s="302"/>
      <c r="BI8" s="302"/>
      <c r="BJ8" s="302"/>
      <c r="BK8" s="302"/>
      <c r="BL8" s="302"/>
      <c r="BM8" s="302"/>
      <c r="BN8" s="302"/>
      <c r="BO8" s="302"/>
      <c r="BP8" s="302"/>
      <c r="BQ8" s="302"/>
    </row>
    <row r="9" spans="1:69" s="252" customFormat="1" ht="138" customHeight="1" x14ac:dyDescent="0.25">
      <c r="A9" s="642"/>
      <c r="B9" s="642"/>
      <c r="C9" s="642"/>
      <c r="D9" s="642"/>
      <c r="E9" s="642"/>
      <c r="F9" s="642"/>
      <c r="G9" s="642"/>
      <c r="H9" s="642"/>
      <c r="I9" s="642"/>
      <c r="J9" s="642"/>
      <c r="K9" s="642"/>
      <c r="L9" s="642"/>
      <c r="M9" s="642"/>
      <c r="N9" s="642"/>
      <c r="O9" s="642"/>
      <c r="P9" s="642"/>
      <c r="Q9" s="303" t="s">
        <v>623</v>
      </c>
      <c r="R9" s="80" t="s">
        <v>624</v>
      </c>
      <c r="S9" s="80" t="s">
        <v>56</v>
      </c>
      <c r="T9" s="80">
        <v>284</v>
      </c>
      <c r="U9" s="80">
        <v>390</v>
      </c>
      <c r="V9" s="669"/>
      <c r="W9" s="656"/>
      <c r="X9" s="568"/>
      <c r="Y9" s="568"/>
      <c r="Z9" s="568"/>
      <c r="AA9" s="666"/>
      <c r="AB9" s="568"/>
      <c r="AC9" s="80">
        <v>33</v>
      </c>
      <c r="AD9" s="80">
        <v>390</v>
      </c>
      <c r="AE9" s="81">
        <f t="shared" ref="AE9" si="0">+AC9/AD9</f>
        <v>8.461538461538462E-2</v>
      </c>
      <c r="AF9" s="80" t="s">
        <v>625</v>
      </c>
      <c r="AG9" s="568"/>
      <c r="AH9" s="568"/>
      <c r="AI9" s="666"/>
      <c r="AJ9" s="568"/>
      <c r="AK9" s="80">
        <v>34</v>
      </c>
      <c r="AL9" s="80">
        <v>390</v>
      </c>
      <c r="AM9" s="81">
        <f t="shared" ref="AM9" si="1">+AK9/AL9</f>
        <v>8.7179487179487175E-2</v>
      </c>
      <c r="AN9" s="80" t="s">
        <v>626</v>
      </c>
      <c r="AO9" s="568"/>
      <c r="AP9" s="568"/>
      <c r="AQ9" s="666"/>
      <c r="AR9" s="568"/>
      <c r="AS9" s="80">
        <v>33</v>
      </c>
      <c r="AT9" s="80">
        <v>390</v>
      </c>
      <c r="AU9" s="81">
        <f>+AS9/AT9</f>
        <v>8.461538461538462E-2</v>
      </c>
      <c r="AV9" s="80" t="s">
        <v>627</v>
      </c>
      <c r="AW9" s="302"/>
      <c r="AX9" s="302"/>
      <c r="AY9" s="302"/>
      <c r="AZ9" s="302"/>
      <c r="BA9" s="302"/>
      <c r="BB9" s="302"/>
      <c r="BC9" s="302"/>
      <c r="BD9" s="302"/>
      <c r="BE9" s="302"/>
      <c r="BF9" s="302"/>
      <c r="BG9" s="302"/>
      <c r="BH9" s="302"/>
      <c r="BI9" s="302"/>
      <c r="BJ9" s="302"/>
      <c r="BK9" s="302"/>
      <c r="BL9" s="302"/>
      <c r="BM9" s="302"/>
      <c r="BN9" s="302"/>
      <c r="BO9" s="302"/>
      <c r="BP9" s="302"/>
      <c r="BQ9" s="302"/>
    </row>
    <row r="10" spans="1:69" s="302" customFormat="1" ht="78.75" customHeight="1" x14ac:dyDescent="0.25">
      <c r="A10" s="304"/>
      <c r="B10" s="304"/>
      <c r="C10" s="304"/>
      <c r="D10" s="305"/>
      <c r="E10" s="305"/>
      <c r="F10" s="305"/>
      <c r="G10" s="305"/>
      <c r="H10" s="305"/>
      <c r="I10" s="305"/>
      <c r="J10" s="304"/>
      <c r="K10" s="305"/>
      <c r="L10" s="299"/>
      <c r="M10" s="299"/>
      <c r="N10" s="299"/>
      <c r="O10" s="299"/>
      <c r="P10" s="299"/>
      <c r="Q10" s="299"/>
      <c r="R10" s="279"/>
      <c r="S10" s="279"/>
      <c r="T10" s="279"/>
      <c r="U10" s="279"/>
      <c r="V10" s="295"/>
      <c r="W10" s="656"/>
      <c r="X10" s="292"/>
      <c r="Y10" s="388" t="s">
        <v>865</v>
      </c>
      <c r="Z10" s="388"/>
      <c r="AA10" s="58">
        <f>+AVERAGE(AA7)</f>
        <v>8.6956521739130432E-2</v>
      </c>
      <c r="AB10" s="300"/>
      <c r="AC10" s="388" t="s">
        <v>866</v>
      </c>
      <c r="AD10" s="388"/>
      <c r="AE10" s="58">
        <f>+AVERAGE(AE7:AE9)</f>
        <v>8.7307692307692308E-2</v>
      </c>
      <c r="AF10" s="301"/>
      <c r="AG10" s="388" t="s">
        <v>865</v>
      </c>
      <c r="AH10" s="388"/>
      <c r="AI10" s="58">
        <f>+AVERAGE(AI7)</f>
        <v>0.16348773841961853</v>
      </c>
      <c r="AJ10" s="300"/>
      <c r="AK10" s="388" t="s">
        <v>866</v>
      </c>
      <c r="AL10" s="388"/>
      <c r="AM10" s="58">
        <f>+AVERAGE(AM7:AM9)</f>
        <v>8.3807303807303793E-2</v>
      </c>
      <c r="AN10" s="301"/>
      <c r="AO10" s="388" t="s">
        <v>865</v>
      </c>
      <c r="AP10" s="388"/>
      <c r="AQ10" s="58">
        <f>+AVERAGE(AQ7)</f>
        <v>0.25204359673024523</v>
      </c>
      <c r="AR10" s="300"/>
      <c r="AS10" s="388" t="s">
        <v>866</v>
      </c>
      <c r="AT10" s="388"/>
      <c r="AU10" s="58">
        <f>+AVERAGE(AU7:AU9)</f>
        <v>9.6083916083916088E-2</v>
      </c>
      <c r="AV10" s="300"/>
    </row>
    <row r="11" spans="1:69" s="252" customFormat="1" ht="120" x14ac:dyDescent="0.25">
      <c r="A11" s="651" t="s">
        <v>43</v>
      </c>
      <c r="B11" s="651" t="s">
        <v>44</v>
      </c>
      <c r="C11" s="651" t="s">
        <v>45</v>
      </c>
      <c r="D11" s="651" t="s">
        <v>349</v>
      </c>
      <c r="E11" s="651" t="s">
        <v>47</v>
      </c>
      <c r="F11" s="651" t="s">
        <v>628</v>
      </c>
      <c r="G11" s="651" t="s">
        <v>629</v>
      </c>
      <c r="H11" s="651" t="s">
        <v>630</v>
      </c>
      <c r="I11" s="651" t="s">
        <v>631</v>
      </c>
      <c r="J11" s="651" t="s">
        <v>605</v>
      </c>
      <c r="K11" s="651" t="s">
        <v>605</v>
      </c>
      <c r="L11" s="67" t="s">
        <v>632</v>
      </c>
      <c r="M11" s="67" t="s">
        <v>633</v>
      </c>
      <c r="N11" s="67" t="s">
        <v>74</v>
      </c>
      <c r="O11" s="67">
        <v>85</v>
      </c>
      <c r="P11" s="67">
        <v>85</v>
      </c>
      <c r="Q11" s="253"/>
      <c r="R11" s="253"/>
      <c r="S11" s="253"/>
      <c r="T11" s="253"/>
      <c r="U11" s="253"/>
      <c r="V11" s="97">
        <v>1313586960</v>
      </c>
      <c r="W11" s="656"/>
      <c r="X11" s="651" t="s">
        <v>611</v>
      </c>
      <c r="Y11" s="67">
        <v>5</v>
      </c>
      <c r="Z11" s="67">
        <v>6</v>
      </c>
      <c r="AA11" s="68">
        <f>+Y11/Z11</f>
        <v>0.83333333333333337</v>
      </c>
      <c r="AB11" s="67" t="s">
        <v>634</v>
      </c>
      <c r="AC11" s="495"/>
      <c r="AD11" s="496"/>
      <c r="AE11" s="496"/>
      <c r="AF11" s="497"/>
      <c r="AG11" s="67">
        <v>6</v>
      </c>
      <c r="AH11" s="67">
        <v>8</v>
      </c>
      <c r="AI11" s="68">
        <f>+AG11/AH11</f>
        <v>0.75</v>
      </c>
      <c r="AJ11" s="67" t="s">
        <v>635</v>
      </c>
      <c r="AK11" s="495"/>
      <c r="AL11" s="496"/>
      <c r="AM11" s="496"/>
      <c r="AN11" s="497"/>
      <c r="AO11" s="67">
        <v>7</v>
      </c>
      <c r="AP11" s="67">
        <v>9</v>
      </c>
      <c r="AQ11" s="68">
        <f>+AO11/AP11</f>
        <v>0.77777777777777779</v>
      </c>
      <c r="AR11" s="67" t="s">
        <v>636</v>
      </c>
      <c r="AS11" s="495"/>
      <c r="AT11" s="496"/>
      <c r="AU11" s="496"/>
      <c r="AV11" s="497"/>
      <c r="AW11" s="302"/>
      <c r="AX11" s="302"/>
      <c r="AY11" s="302"/>
      <c r="AZ11" s="302"/>
      <c r="BA11" s="302"/>
      <c r="BB11" s="302"/>
      <c r="BC11" s="302"/>
      <c r="BD11" s="302"/>
      <c r="BE11" s="302"/>
      <c r="BF11" s="302"/>
      <c r="BG11" s="302"/>
      <c r="BH11" s="302"/>
      <c r="BI11" s="302"/>
      <c r="BJ11" s="302"/>
      <c r="BK11" s="302"/>
      <c r="BL11" s="302"/>
      <c r="BM11" s="302"/>
      <c r="BN11" s="302"/>
      <c r="BO11" s="302"/>
      <c r="BP11" s="302"/>
      <c r="BQ11" s="302"/>
    </row>
    <row r="12" spans="1:69" s="252" customFormat="1" ht="96" x14ac:dyDescent="0.25">
      <c r="A12" s="651"/>
      <c r="B12" s="651"/>
      <c r="C12" s="651"/>
      <c r="D12" s="651"/>
      <c r="E12" s="651"/>
      <c r="F12" s="651"/>
      <c r="G12" s="651"/>
      <c r="H12" s="651"/>
      <c r="I12" s="651" t="s">
        <v>637</v>
      </c>
      <c r="J12" s="651"/>
      <c r="K12" s="651"/>
      <c r="L12" s="80" t="s">
        <v>638</v>
      </c>
      <c r="M12" s="80" t="s">
        <v>639</v>
      </c>
      <c r="N12" s="80" t="s">
        <v>74</v>
      </c>
      <c r="O12" s="80"/>
      <c r="P12" s="80">
        <v>100</v>
      </c>
      <c r="Q12" s="253"/>
      <c r="R12" s="253"/>
      <c r="S12" s="253"/>
      <c r="T12" s="253"/>
      <c r="U12" s="253"/>
      <c r="V12" s="254">
        <v>1156650860</v>
      </c>
      <c r="W12" s="656"/>
      <c r="X12" s="651"/>
      <c r="Y12" s="80">
        <v>20</v>
      </c>
      <c r="Z12" s="80">
        <v>20</v>
      </c>
      <c r="AA12" s="81">
        <f>+Y12/Z12</f>
        <v>1</v>
      </c>
      <c r="AB12" s="80" t="s">
        <v>640</v>
      </c>
      <c r="AC12" s="495"/>
      <c r="AD12" s="496"/>
      <c r="AE12" s="496"/>
      <c r="AF12" s="497"/>
      <c r="AG12" s="80">
        <v>22</v>
      </c>
      <c r="AH12" s="80">
        <v>22</v>
      </c>
      <c r="AI12" s="81">
        <f>+AG12/AH12</f>
        <v>1</v>
      </c>
      <c r="AJ12" s="273" t="s">
        <v>641</v>
      </c>
      <c r="AK12" s="495"/>
      <c r="AL12" s="496"/>
      <c r="AM12" s="496"/>
      <c r="AN12" s="497"/>
      <c r="AO12" s="80">
        <v>24</v>
      </c>
      <c r="AP12" s="80">
        <v>24</v>
      </c>
      <c r="AQ12" s="81">
        <f>+AO12/AP12</f>
        <v>1</v>
      </c>
      <c r="AR12" s="80" t="s">
        <v>642</v>
      </c>
      <c r="AS12" s="495"/>
      <c r="AT12" s="496"/>
      <c r="AU12" s="496"/>
      <c r="AV12" s="497"/>
      <c r="AW12" s="302"/>
      <c r="AX12" s="302"/>
      <c r="AY12" s="302"/>
      <c r="AZ12" s="302"/>
      <c r="BA12" s="302"/>
      <c r="BB12" s="302"/>
      <c r="BC12" s="302"/>
      <c r="BD12" s="302"/>
      <c r="BE12" s="302"/>
      <c r="BF12" s="302"/>
      <c r="BG12" s="302"/>
      <c r="BH12" s="302"/>
      <c r="BI12" s="302"/>
      <c r="BJ12" s="302"/>
      <c r="BK12" s="302"/>
      <c r="BL12" s="302"/>
      <c r="BM12" s="302"/>
      <c r="BN12" s="302"/>
      <c r="BO12" s="302"/>
      <c r="BP12" s="302"/>
      <c r="BQ12" s="302"/>
    </row>
    <row r="13" spans="1:69" s="252" customFormat="1" ht="51" customHeight="1" x14ac:dyDescent="0.25">
      <c r="A13" s="651"/>
      <c r="B13" s="651"/>
      <c r="C13" s="651"/>
      <c r="D13" s="651"/>
      <c r="E13" s="651" t="s">
        <v>375</v>
      </c>
      <c r="F13" s="651" t="s">
        <v>643</v>
      </c>
      <c r="G13" s="651"/>
      <c r="H13" s="651" t="s">
        <v>630</v>
      </c>
      <c r="I13" s="651" t="s">
        <v>644</v>
      </c>
      <c r="J13" s="651"/>
      <c r="K13" s="651"/>
      <c r="L13" s="396" t="s">
        <v>645</v>
      </c>
      <c r="M13" s="396" t="s">
        <v>646</v>
      </c>
      <c r="N13" s="396" t="s">
        <v>56</v>
      </c>
      <c r="O13" s="396"/>
      <c r="P13" s="396">
        <v>100</v>
      </c>
      <c r="Q13" s="67" t="s">
        <v>647</v>
      </c>
      <c r="R13" s="67" t="s">
        <v>648</v>
      </c>
      <c r="S13" s="67" t="s">
        <v>74</v>
      </c>
      <c r="T13" s="97">
        <v>3500000000</v>
      </c>
      <c r="U13" s="67">
        <v>30</v>
      </c>
      <c r="V13" s="662">
        <v>864689120</v>
      </c>
      <c r="W13" s="656"/>
      <c r="X13" s="651"/>
      <c r="Y13" s="662">
        <f>+AC13+AC14</f>
        <v>1807011508</v>
      </c>
      <c r="Z13" s="662">
        <f>+AD13+AD14</f>
        <v>4271204129.7360001</v>
      </c>
      <c r="AA13" s="644">
        <f>+Y13/Z13</f>
        <v>0.42306840251900818</v>
      </c>
      <c r="AB13" s="662" t="s">
        <v>649</v>
      </c>
      <c r="AC13" s="97">
        <v>1807011508</v>
      </c>
      <c r="AD13" s="97">
        <v>4271204129.7360001</v>
      </c>
      <c r="AE13" s="68">
        <f>+AC13/AD13</f>
        <v>0.42306840251900818</v>
      </c>
      <c r="AF13" s="97" t="s">
        <v>650</v>
      </c>
      <c r="AG13" s="662">
        <f>+AK13+AK14</f>
        <v>2177617586</v>
      </c>
      <c r="AH13" s="662">
        <f>+AL13+AL14</f>
        <v>7161101459.7360001</v>
      </c>
      <c r="AI13" s="644">
        <f>+AG13/AH13</f>
        <v>0.30408975466188687</v>
      </c>
      <c r="AJ13" s="396" t="s">
        <v>651</v>
      </c>
      <c r="AK13" s="97">
        <f>+AC13+216454628</f>
        <v>2023466136</v>
      </c>
      <c r="AL13" s="97">
        <f>+AD13</f>
        <v>4271204129.7360001</v>
      </c>
      <c r="AM13" s="68">
        <f>+AK13/AL13</f>
        <v>0.47374606189216928</v>
      </c>
      <c r="AN13" s="271" t="s">
        <v>652</v>
      </c>
      <c r="AO13" s="662">
        <f>+AS13+AS14</f>
        <v>2827788025</v>
      </c>
      <c r="AP13" s="662">
        <f>+AT13+AT14</f>
        <v>7161101459.7360001</v>
      </c>
      <c r="AQ13" s="644">
        <f>+AO13/AP13</f>
        <v>0.39488171490091534</v>
      </c>
      <c r="AR13" s="396" t="s">
        <v>653</v>
      </c>
      <c r="AS13" s="97">
        <f>+AK13+205223653</f>
        <v>2228689789</v>
      </c>
      <c r="AT13" s="97">
        <f>+AL13</f>
        <v>4271204129.7360001</v>
      </c>
      <c r="AU13" s="68">
        <f>+AS13/AT13</f>
        <v>0.52179425784966027</v>
      </c>
      <c r="AV13" s="271" t="s">
        <v>654</v>
      </c>
      <c r="AW13" s="302"/>
      <c r="AX13" s="302"/>
      <c r="AY13" s="302"/>
      <c r="AZ13" s="302"/>
      <c r="BA13" s="302"/>
      <c r="BB13" s="302"/>
      <c r="BC13" s="302"/>
      <c r="BD13" s="302"/>
      <c r="BE13" s="302"/>
      <c r="BF13" s="302"/>
      <c r="BG13" s="302"/>
      <c r="BH13" s="302"/>
      <c r="BI13" s="302"/>
      <c r="BJ13" s="302"/>
      <c r="BK13" s="302"/>
      <c r="BL13" s="302"/>
      <c r="BM13" s="302"/>
      <c r="BN13" s="302"/>
      <c r="BO13" s="302"/>
      <c r="BP13" s="302"/>
      <c r="BQ13" s="302"/>
    </row>
    <row r="14" spans="1:69" s="252" customFormat="1" ht="48.75" customHeight="1" x14ac:dyDescent="0.25">
      <c r="A14" s="514"/>
      <c r="B14" s="514"/>
      <c r="C14" s="514"/>
      <c r="D14" s="514"/>
      <c r="E14" s="514"/>
      <c r="F14" s="514"/>
      <c r="G14" s="514"/>
      <c r="H14" s="514"/>
      <c r="I14" s="514"/>
      <c r="J14" s="514"/>
      <c r="K14" s="514"/>
      <c r="L14" s="398"/>
      <c r="M14" s="398"/>
      <c r="N14" s="398"/>
      <c r="O14" s="398"/>
      <c r="P14" s="398"/>
      <c r="Q14" s="303" t="s">
        <v>655</v>
      </c>
      <c r="R14" s="303" t="s">
        <v>656</v>
      </c>
      <c r="S14" s="303" t="s">
        <v>74</v>
      </c>
      <c r="T14" s="303"/>
      <c r="U14" s="303">
        <v>60</v>
      </c>
      <c r="V14" s="663"/>
      <c r="W14" s="656"/>
      <c r="X14" s="514"/>
      <c r="Y14" s="663"/>
      <c r="Z14" s="663"/>
      <c r="AA14" s="646"/>
      <c r="AB14" s="663"/>
      <c r="AC14" s="303">
        <v>0</v>
      </c>
      <c r="AD14" s="303">
        <v>0</v>
      </c>
      <c r="AE14" s="296">
        <v>0</v>
      </c>
      <c r="AF14" s="303" t="s">
        <v>657</v>
      </c>
      <c r="AG14" s="663"/>
      <c r="AH14" s="663"/>
      <c r="AI14" s="646"/>
      <c r="AJ14" s="398"/>
      <c r="AK14" s="307">
        <v>154151450</v>
      </c>
      <c r="AL14" s="307">
        <v>2889897330</v>
      </c>
      <c r="AM14" s="296">
        <f>+AK14/AL14</f>
        <v>5.334149708356594E-2</v>
      </c>
      <c r="AN14" s="271" t="s">
        <v>658</v>
      </c>
      <c r="AO14" s="663"/>
      <c r="AP14" s="663"/>
      <c r="AQ14" s="646"/>
      <c r="AR14" s="398"/>
      <c r="AS14" s="307">
        <f>+AK14+444946786</f>
        <v>599098236</v>
      </c>
      <c r="AT14" s="307">
        <f>+AL14</f>
        <v>2889897330</v>
      </c>
      <c r="AU14" s="296">
        <f>+AS14/AT14</f>
        <v>0.20730779248825423</v>
      </c>
      <c r="AV14" s="271" t="s">
        <v>659</v>
      </c>
      <c r="AW14" s="302"/>
      <c r="AX14" s="302"/>
      <c r="AY14" s="302"/>
      <c r="AZ14" s="302"/>
      <c r="BA14" s="302"/>
      <c r="BB14" s="302"/>
      <c r="BC14" s="302"/>
      <c r="BD14" s="302"/>
      <c r="BE14" s="302"/>
      <c r="BF14" s="302"/>
      <c r="BG14" s="302"/>
      <c r="BH14" s="302"/>
      <c r="BI14" s="302"/>
      <c r="BJ14" s="302"/>
      <c r="BK14" s="302"/>
      <c r="BL14" s="302"/>
      <c r="BM14" s="302"/>
      <c r="BN14" s="302"/>
      <c r="BO14" s="302"/>
      <c r="BP14" s="302"/>
      <c r="BQ14" s="302"/>
    </row>
    <row r="16" spans="1:69" ht="70.5" customHeight="1" x14ac:dyDescent="0.25">
      <c r="V16" s="242"/>
      <c r="Y16" s="388" t="s">
        <v>865</v>
      </c>
      <c r="Z16" s="388"/>
      <c r="AA16" s="58">
        <f>+AVERAGE(AA11:AA14)</f>
        <v>0.7521339119507805</v>
      </c>
      <c r="AB16" s="300"/>
      <c r="AC16" s="388" t="s">
        <v>866</v>
      </c>
      <c r="AD16" s="388"/>
      <c r="AE16" s="58">
        <f>+AVERAGE(AE13:AE15)</f>
        <v>0.21153420125950409</v>
      </c>
      <c r="AG16" s="388" t="s">
        <v>865</v>
      </c>
      <c r="AH16" s="388"/>
      <c r="AI16" s="58">
        <f>+AVERAGE(AI11:AI14)</f>
        <v>0.68469658488729568</v>
      </c>
      <c r="AJ16" s="300"/>
      <c r="AK16" s="388" t="s">
        <v>866</v>
      </c>
      <c r="AL16" s="388"/>
      <c r="AM16" s="58">
        <f>+AVERAGE(AM13:AM15)</f>
        <v>0.26354377948786761</v>
      </c>
      <c r="AO16" s="388" t="s">
        <v>865</v>
      </c>
      <c r="AP16" s="388"/>
      <c r="AQ16" s="58">
        <f>+AVERAGE(AQ11:AQ14)</f>
        <v>0.72421983089289765</v>
      </c>
      <c r="AR16" s="300"/>
      <c r="AS16" s="388" t="s">
        <v>866</v>
      </c>
      <c r="AT16" s="388"/>
      <c r="AU16" s="58">
        <f>+AVERAGE(AU13:AU15)</f>
        <v>0.36455102516895727</v>
      </c>
    </row>
    <row r="17" spans="45:45" x14ac:dyDescent="0.25">
      <c r="AS17" s="257"/>
    </row>
    <row r="18" spans="45:45" x14ac:dyDescent="0.25">
      <c r="AS18" s="258"/>
    </row>
  </sheetData>
  <sheetProtection algorithmName="SHA-512" hashValue="X1iEjscRYUDSUd1VxNLXzu5mCS5wXqp70kmO+5x9mp9SGtse4k7d9VjGjh8hlgV4WW91li/QeBiI8HdF8DJxLw==" saltValue="hyIeUsTMiSw+knIKKXzCgQ==" spinCount="100000" sheet="1" objects="1" scenarios="1" selectLockedCells="1" selectUnlockedCells="1"/>
  <mergeCells count="99">
    <mergeCell ref="AK12:AN12"/>
    <mergeCell ref="AK11:AN11"/>
    <mergeCell ref="AC11:AF11"/>
    <mergeCell ref="AC12:AF12"/>
    <mergeCell ref="AO13:AO14"/>
    <mergeCell ref="AJ13:AJ14"/>
    <mergeCell ref="AP13:AP14"/>
    <mergeCell ref="AQ13:AQ14"/>
    <mergeCell ref="AS11:AV11"/>
    <mergeCell ref="AS12:AV12"/>
    <mergeCell ref="AR7:AR9"/>
    <mergeCell ref="AR13:AR14"/>
    <mergeCell ref="AQ7:AQ9"/>
    <mergeCell ref="AS10:AT10"/>
    <mergeCell ref="AO10:AP10"/>
    <mergeCell ref="G11:G14"/>
    <mergeCell ref="K11:K14"/>
    <mergeCell ref="AH7:AH9"/>
    <mergeCell ref="AI7:AI9"/>
    <mergeCell ref="P7:P9"/>
    <mergeCell ref="V7:V9"/>
    <mergeCell ref="Y7:Y9"/>
    <mergeCell ref="Z7:Z9"/>
    <mergeCell ref="AA7:AA9"/>
    <mergeCell ref="AB7:AB9"/>
    <mergeCell ref="AG7:AG9"/>
    <mergeCell ref="H11:H14"/>
    <mergeCell ref="I11:I14"/>
    <mergeCell ref="J11:J14"/>
    <mergeCell ref="X11:X14"/>
    <mergeCell ref="AJ7:AJ9"/>
    <mergeCell ref="AO7:AO9"/>
    <mergeCell ref="AP7:AP9"/>
    <mergeCell ref="V13:V14"/>
    <mergeCell ref="Y13:Y14"/>
    <mergeCell ref="Z13:Z14"/>
    <mergeCell ref="AA13:AA14"/>
    <mergeCell ref="AB13:AB14"/>
    <mergeCell ref="W7:W14"/>
    <mergeCell ref="AK10:AL10"/>
    <mergeCell ref="AG10:AH10"/>
    <mergeCell ref="AC10:AD10"/>
    <mergeCell ref="Y10:Z10"/>
    <mergeCell ref="AG13:AG14"/>
    <mergeCell ref="AH13:AH14"/>
    <mergeCell ref="AI13:AI14"/>
    <mergeCell ref="Y4:AF4"/>
    <mergeCell ref="AG4:AN4"/>
    <mergeCell ref="AO4:AV4"/>
    <mergeCell ref="A5:C5"/>
    <mergeCell ref="E5:F5"/>
    <mergeCell ref="G5:I5"/>
    <mergeCell ref="J5:J6"/>
    <mergeCell ref="K5:K6"/>
    <mergeCell ref="Y5:AB5"/>
    <mergeCell ref="AC5:AF5"/>
    <mergeCell ref="AG5:AJ5"/>
    <mergeCell ref="AK5:AN5"/>
    <mergeCell ref="AO5:AR5"/>
    <mergeCell ref="AS5:AV5"/>
    <mergeCell ref="C1:X3"/>
    <mergeCell ref="A4:K4"/>
    <mergeCell ref="L4:P5"/>
    <mergeCell ref="Q4:U5"/>
    <mergeCell ref="V4:W5"/>
    <mergeCell ref="X4:X5"/>
    <mergeCell ref="A7:A9"/>
    <mergeCell ref="B7:B9"/>
    <mergeCell ref="C7:C9"/>
    <mergeCell ref="J7:J9"/>
    <mergeCell ref="X7:X9"/>
    <mergeCell ref="D7:D9"/>
    <mergeCell ref="E7:E9"/>
    <mergeCell ref="F7:F9"/>
    <mergeCell ref="G7:G9"/>
    <mergeCell ref="H7:H9"/>
    <mergeCell ref="I7:I9"/>
    <mergeCell ref="K7:K9"/>
    <mergeCell ref="L7:L9"/>
    <mergeCell ref="M7:M9"/>
    <mergeCell ref="N7:N9"/>
    <mergeCell ref="O7:O9"/>
    <mergeCell ref="A11:A14"/>
    <mergeCell ref="B11:B14"/>
    <mergeCell ref="C11:C14"/>
    <mergeCell ref="E11:E14"/>
    <mergeCell ref="F11:F14"/>
    <mergeCell ref="D11:D14"/>
    <mergeCell ref="M13:M14"/>
    <mergeCell ref="N13:N14"/>
    <mergeCell ref="O13:O14"/>
    <mergeCell ref="P13:P14"/>
    <mergeCell ref="L13:L14"/>
    <mergeCell ref="AS16:AT16"/>
    <mergeCell ref="Y16:Z16"/>
    <mergeCell ref="AC16:AD16"/>
    <mergeCell ref="AG16:AH16"/>
    <mergeCell ref="AK16:AL16"/>
    <mergeCell ref="AO16:AP16"/>
  </mergeCells>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7D096-79A6-4FEA-8C3C-B96A0E72FDA3}">
  <sheetPr>
    <tabColor theme="7"/>
  </sheetPr>
  <dimension ref="A1:BW33"/>
  <sheetViews>
    <sheetView topLeftCell="AO1" workbookViewId="0">
      <selection activeCell="C11" sqref="C11"/>
    </sheetView>
  </sheetViews>
  <sheetFormatPr baseColWidth="10" defaultRowHeight="15" x14ac:dyDescent="0.25"/>
  <cols>
    <col min="1" max="1" width="21.140625" style="260" customWidth="1"/>
    <col min="2" max="2" width="17.85546875" style="260" customWidth="1"/>
    <col min="3" max="3" width="24.140625" style="260" customWidth="1"/>
    <col min="4" max="4" width="26.42578125" style="260" customWidth="1"/>
    <col min="5" max="5" width="18.140625" style="260" customWidth="1"/>
    <col min="6" max="6" width="20.5703125" style="260" customWidth="1"/>
    <col min="7" max="7" width="14" style="260" customWidth="1"/>
    <col min="8" max="8" width="16.5703125" style="260" customWidth="1"/>
    <col min="9" max="9" width="15.140625" style="260" customWidth="1"/>
    <col min="10" max="10" width="15.85546875" style="260" customWidth="1"/>
    <col min="11" max="11" width="16.42578125" style="260" customWidth="1"/>
    <col min="12" max="12" width="21.85546875" style="260" customWidth="1"/>
    <col min="13" max="13" width="23" style="260" customWidth="1"/>
    <col min="14" max="14" width="11.42578125" style="260"/>
    <col min="15" max="15" width="13.5703125" style="260" customWidth="1"/>
    <col min="16" max="16" width="11.42578125" style="260"/>
    <col min="17" max="17" width="20.28515625" style="260" customWidth="1"/>
    <col min="18" max="18" width="20.140625" style="260" customWidth="1"/>
    <col min="19" max="19" width="12.28515625" style="260" customWidth="1"/>
    <col min="20" max="20" width="11.42578125" style="260"/>
    <col min="21" max="21" width="11.5703125" style="260" customWidth="1"/>
    <col min="22" max="22" width="14.140625" style="261" bestFit="1" customWidth="1"/>
    <col min="23" max="23" width="16.7109375" style="261" customWidth="1"/>
    <col min="24" max="24" width="16.7109375" style="260" customWidth="1"/>
    <col min="25" max="25" width="16.28515625" style="260" customWidth="1"/>
    <col min="26" max="26" width="11.42578125" style="260"/>
    <col min="27" max="27" width="16" style="260" customWidth="1"/>
    <col min="28" max="28" width="40.5703125" style="260" customWidth="1"/>
    <col min="29" max="29" width="14.5703125" style="260" customWidth="1"/>
    <col min="30" max="30" width="11.42578125" style="260"/>
    <col min="31" max="31" width="13" style="260" customWidth="1"/>
    <col min="32" max="32" width="32.85546875" style="260" customWidth="1"/>
    <col min="33" max="33" width="18.140625" style="260" bestFit="1" customWidth="1"/>
    <col min="34" max="34" width="11.42578125" style="260"/>
    <col min="35" max="35" width="16" style="260" customWidth="1"/>
    <col min="36" max="36" width="40.5703125" style="260" customWidth="1"/>
    <col min="37" max="37" width="17.140625" style="260" bestFit="1" customWidth="1"/>
    <col min="38" max="38" width="11.42578125" style="260"/>
    <col min="39" max="39" width="13" style="260" customWidth="1"/>
    <col min="40" max="40" width="32.85546875" style="260" customWidth="1"/>
    <col min="41" max="41" width="18.140625" style="260" bestFit="1" customWidth="1"/>
    <col min="42" max="42" width="11.42578125" style="260"/>
    <col min="43" max="43" width="16" style="260" customWidth="1"/>
    <col min="44" max="44" width="40.5703125" style="260" customWidth="1"/>
    <col min="45" max="45" width="17.140625" style="260" bestFit="1" customWidth="1"/>
    <col min="46" max="46" width="11.42578125" style="260"/>
    <col min="47" max="47" width="13" style="260" customWidth="1"/>
    <col min="48" max="48" width="32.85546875" style="260" customWidth="1"/>
    <col min="49" max="16384" width="11.42578125" style="260"/>
  </cols>
  <sheetData>
    <row r="1" spans="1:75" s="1" customFormat="1" ht="15.75" x14ac:dyDescent="0.25">
      <c r="C1" s="413" t="s">
        <v>0</v>
      </c>
      <c r="D1" s="413"/>
      <c r="E1" s="413"/>
      <c r="F1" s="413"/>
      <c r="G1" s="413"/>
      <c r="H1" s="413"/>
      <c r="I1" s="413"/>
      <c r="J1" s="413"/>
      <c r="K1" s="413"/>
      <c r="L1" s="413"/>
      <c r="M1" s="413"/>
      <c r="N1" s="413"/>
      <c r="O1" s="413"/>
      <c r="P1" s="413"/>
      <c r="Q1" s="413"/>
      <c r="R1" s="413"/>
      <c r="S1" s="413"/>
      <c r="T1" s="413"/>
      <c r="U1" s="413"/>
      <c r="V1" s="413"/>
      <c r="W1" s="413"/>
      <c r="X1" s="413"/>
      <c r="AE1" s="2"/>
      <c r="AF1" s="3"/>
      <c r="AM1" s="2"/>
      <c r="AN1" s="3"/>
      <c r="AU1" s="4" t="s">
        <v>1</v>
      </c>
      <c r="AV1" s="5">
        <v>43458</v>
      </c>
    </row>
    <row r="2" spans="1:75" s="1" customFormat="1" ht="30" customHeight="1" x14ac:dyDescent="0.25">
      <c r="C2" s="413"/>
      <c r="D2" s="413"/>
      <c r="E2" s="413"/>
      <c r="F2" s="413"/>
      <c r="G2" s="413"/>
      <c r="H2" s="413"/>
      <c r="I2" s="413"/>
      <c r="J2" s="413"/>
      <c r="K2" s="413"/>
      <c r="L2" s="413"/>
      <c r="M2" s="413"/>
      <c r="N2" s="413"/>
      <c r="O2" s="413"/>
      <c r="P2" s="413"/>
      <c r="Q2" s="413"/>
      <c r="R2" s="413"/>
      <c r="S2" s="413"/>
      <c r="T2" s="413"/>
      <c r="U2" s="413"/>
      <c r="V2" s="413"/>
      <c r="W2" s="413"/>
      <c r="X2" s="413"/>
      <c r="AE2" s="2"/>
      <c r="AF2" s="2"/>
      <c r="AM2" s="2"/>
      <c r="AN2" s="2"/>
      <c r="AU2" s="4" t="s">
        <v>2</v>
      </c>
      <c r="AV2" s="4">
        <v>5</v>
      </c>
    </row>
    <row r="3" spans="1:75" s="1" customFormat="1" ht="29.25" customHeight="1" x14ac:dyDescent="0.25">
      <c r="C3" s="413"/>
      <c r="D3" s="413"/>
      <c r="E3" s="413"/>
      <c r="F3" s="413"/>
      <c r="G3" s="413"/>
      <c r="H3" s="413"/>
      <c r="I3" s="413"/>
      <c r="J3" s="413"/>
      <c r="K3" s="413"/>
      <c r="L3" s="413"/>
      <c r="M3" s="413"/>
      <c r="N3" s="413"/>
      <c r="O3" s="413"/>
      <c r="P3" s="413"/>
      <c r="Q3" s="413"/>
      <c r="R3" s="413"/>
      <c r="S3" s="413"/>
      <c r="T3" s="413"/>
      <c r="U3" s="413"/>
      <c r="V3" s="413"/>
      <c r="W3" s="413"/>
      <c r="X3" s="413"/>
      <c r="AE3" s="2"/>
      <c r="AF3" s="2"/>
      <c r="AM3" s="2"/>
      <c r="AN3" s="2"/>
      <c r="AU3" s="4" t="s">
        <v>3</v>
      </c>
      <c r="AV3" s="4" t="s">
        <v>4</v>
      </c>
    </row>
    <row r="4" spans="1:75" s="203" customFormat="1" x14ac:dyDescent="0.25">
      <c r="A4" s="414" t="s">
        <v>5</v>
      </c>
      <c r="B4" s="415"/>
      <c r="C4" s="415"/>
      <c r="D4" s="415"/>
      <c r="E4" s="415"/>
      <c r="F4" s="415"/>
      <c r="G4" s="415"/>
      <c r="H4" s="415"/>
      <c r="I4" s="415"/>
      <c r="J4" s="415"/>
      <c r="K4" s="416"/>
      <c r="L4" s="417" t="s">
        <v>6</v>
      </c>
      <c r="M4" s="418"/>
      <c r="N4" s="418"/>
      <c r="O4" s="418"/>
      <c r="P4" s="419"/>
      <c r="Q4" s="417" t="s">
        <v>7</v>
      </c>
      <c r="R4" s="418"/>
      <c r="S4" s="418"/>
      <c r="T4" s="418"/>
      <c r="U4" s="419"/>
      <c r="V4" s="420" t="s">
        <v>8</v>
      </c>
      <c r="W4" s="421"/>
      <c r="X4" s="424" t="s">
        <v>9</v>
      </c>
      <c r="Y4" s="403" t="s">
        <v>10</v>
      </c>
      <c r="Z4" s="404"/>
      <c r="AA4" s="404"/>
      <c r="AB4" s="404"/>
      <c r="AC4" s="404"/>
      <c r="AD4" s="404"/>
      <c r="AE4" s="404"/>
      <c r="AF4" s="405"/>
      <c r="AG4" s="403" t="s">
        <v>11</v>
      </c>
      <c r="AH4" s="404"/>
      <c r="AI4" s="404"/>
      <c r="AJ4" s="404"/>
      <c r="AK4" s="404"/>
      <c r="AL4" s="404"/>
      <c r="AM4" s="404"/>
      <c r="AN4" s="405"/>
      <c r="AO4" s="403" t="s">
        <v>12</v>
      </c>
      <c r="AP4" s="404"/>
      <c r="AQ4" s="404"/>
      <c r="AR4" s="404"/>
      <c r="AS4" s="404"/>
      <c r="AT4" s="404"/>
      <c r="AU4" s="404"/>
      <c r="AV4" s="405"/>
      <c r="AW4" s="277"/>
      <c r="AX4" s="277"/>
      <c r="AY4" s="277"/>
      <c r="AZ4" s="277"/>
      <c r="BA4" s="277"/>
      <c r="BB4" s="277"/>
      <c r="BC4" s="277"/>
      <c r="BD4" s="277"/>
      <c r="BE4" s="277"/>
      <c r="BF4" s="277"/>
      <c r="BG4" s="277"/>
      <c r="BH4" s="277"/>
      <c r="BI4" s="277"/>
      <c r="BJ4" s="277"/>
      <c r="BK4" s="277"/>
      <c r="BL4" s="277"/>
      <c r="BM4" s="277"/>
      <c r="BN4" s="277"/>
      <c r="BO4" s="277"/>
      <c r="BP4" s="277"/>
      <c r="BQ4" s="277"/>
      <c r="BR4" s="277"/>
      <c r="BS4" s="277"/>
      <c r="BT4" s="277"/>
      <c r="BU4" s="277"/>
      <c r="BV4" s="277"/>
      <c r="BW4" s="277"/>
    </row>
    <row r="5" spans="1:75" s="203" customFormat="1" ht="30" x14ac:dyDescent="0.25">
      <c r="A5" s="406" t="s">
        <v>13</v>
      </c>
      <c r="B5" s="407"/>
      <c r="C5" s="408"/>
      <c r="D5" s="205" t="s">
        <v>14</v>
      </c>
      <c r="E5" s="406" t="s">
        <v>15</v>
      </c>
      <c r="F5" s="408"/>
      <c r="G5" s="406" t="s">
        <v>16</v>
      </c>
      <c r="H5" s="407"/>
      <c r="I5" s="408"/>
      <c r="J5" s="409" t="s">
        <v>17</v>
      </c>
      <c r="K5" s="409" t="s">
        <v>18</v>
      </c>
      <c r="L5" s="403"/>
      <c r="M5" s="404"/>
      <c r="N5" s="404"/>
      <c r="O5" s="404"/>
      <c r="P5" s="405"/>
      <c r="Q5" s="403"/>
      <c r="R5" s="404"/>
      <c r="S5" s="404"/>
      <c r="T5" s="404"/>
      <c r="U5" s="405"/>
      <c r="V5" s="422"/>
      <c r="W5" s="423"/>
      <c r="X5" s="425"/>
      <c r="Y5" s="406" t="s">
        <v>19</v>
      </c>
      <c r="Z5" s="407"/>
      <c r="AA5" s="407"/>
      <c r="AB5" s="411"/>
      <c r="AC5" s="412" t="s">
        <v>20</v>
      </c>
      <c r="AD5" s="407"/>
      <c r="AE5" s="407"/>
      <c r="AF5" s="408"/>
      <c r="AG5" s="406" t="s">
        <v>19</v>
      </c>
      <c r="AH5" s="407"/>
      <c r="AI5" s="407"/>
      <c r="AJ5" s="411"/>
      <c r="AK5" s="412" t="s">
        <v>20</v>
      </c>
      <c r="AL5" s="407"/>
      <c r="AM5" s="407"/>
      <c r="AN5" s="408"/>
      <c r="AO5" s="406" t="s">
        <v>19</v>
      </c>
      <c r="AP5" s="407"/>
      <c r="AQ5" s="407"/>
      <c r="AR5" s="411"/>
      <c r="AS5" s="412" t="s">
        <v>20</v>
      </c>
      <c r="AT5" s="407"/>
      <c r="AU5" s="407"/>
      <c r="AV5" s="408"/>
      <c r="AW5" s="277"/>
      <c r="AX5" s="277"/>
      <c r="AY5" s="277"/>
      <c r="AZ5" s="277"/>
      <c r="BA5" s="277"/>
      <c r="BB5" s="277"/>
      <c r="BC5" s="277"/>
      <c r="BD5" s="277"/>
      <c r="BE5" s="277"/>
      <c r="BF5" s="277"/>
      <c r="BG5" s="277"/>
      <c r="BH5" s="277"/>
      <c r="BI5" s="277"/>
      <c r="BJ5" s="277"/>
      <c r="BK5" s="277"/>
      <c r="BL5" s="277"/>
      <c r="BM5" s="277"/>
      <c r="BN5" s="277"/>
      <c r="BO5" s="277"/>
      <c r="BP5" s="277"/>
      <c r="BQ5" s="277"/>
      <c r="BR5" s="277"/>
      <c r="BS5" s="277"/>
      <c r="BT5" s="277"/>
      <c r="BU5" s="277"/>
      <c r="BV5" s="277"/>
      <c r="BW5" s="277"/>
    </row>
    <row r="6" spans="1:75" s="203" customFormat="1" ht="45" x14ac:dyDescent="0.25">
      <c r="A6" s="247" t="s">
        <v>21</v>
      </c>
      <c r="B6" s="247" t="s">
        <v>22</v>
      </c>
      <c r="C6" s="247" t="s">
        <v>23</v>
      </c>
      <c r="D6" s="247" t="s">
        <v>24</v>
      </c>
      <c r="E6" s="247" t="s">
        <v>25</v>
      </c>
      <c r="F6" s="247" t="s">
        <v>26</v>
      </c>
      <c r="G6" s="247" t="s">
        <v>27</v>
      </c>
      <c r="H6" s="247" t="s">
        <v>28</v>
      </c>
      <c r="I6" s="247" t="s">
        <v>29</v>
      </c>
      <c r="J6" s="410"/>
      <c r="K6" s="410"/>
      <c r="L6" s="247" t="s">
        <v>6</v>
      </c>
      <c r="M6" s="247" t="s">
        <v>30</v>
      </c>
      <c r="N6" s="247" t="s">
        <v>31</v>
      </c>
      <c r="O6" s="247" t="s">
        <v>32</v>
      </c>
      <c r="P6" s="247" t="s">
        <v>33</v>
      </c>
      <c r="Q6" s="247" t="s">
        <v>7</v>
      </c>
      <c r="R6" s="247" t="s">
        <v>34</v>
      </c>
      <c r="S6" s="247" t="s">
        <v>31</v>
      </c>
      <c r="T6" s="247" t="s">
        <v>32</v>
      </c>
      <c r="U6" s="247" t="s">
        <v>35</v>
      </c>
      <c r="V6" s="259" t="s">
        <v>36</v>
      </c>
      <c r="W6" s="259" t="s">
        <v>37</v>
      </c>
      <c r="X6" s="247" t="s">
        <v>38</v>
      </c>
      <c r="Y6" s="247" t="s">
        <v>39</v>
      </c>
      <c r="Z6" s="247" t="s">
        <v>40</v>
      </c>
      <c r="AA6" s="247" t="s">
        <v>41</v>
      </c>
      <c r="AB6" s="247" t="s">
        <v>42</v>
      </c>
      <c r="AC6" s="247" t="s">
        <v>39</v>
      </c>
      <c r="AD6" s="247" t="s">
        <v>40</v>
      </c>
      <c r="AE6" s="247" t="s">
        <v>41</v>
      </c>
      <c r="AF6" s="247" t="s">
        <v>42</v>
      </c>
      <c r="AG6" s="247" t="s">
        <v>39</v>
      </c>
      <c r="AH6" s="247" t="s">
        <v>40</v>
      </c>
      <c r="AI6" s="247" t="s">
        <v>41</v>
      </c>
      <c r="AJ6" s="247" t="s">
        <v>42</v>
      </c>
      <c r="AK6" s="247" t="s">
        <v>39</v>
      </c>
      <c r="AL6" s="247" t="s">
        <v>40</v>
      </c>
      <c r="AM6" s="247" t="s">
        <v>41</v>
      </c>
      <c r="AN6" s="247" t="s">
        <v>42</v>
      </c>
      <c r="AO6" s="247" t="s">
        <v>39</v>
      </c>
      <c r="AP6" s="247" t="s">
        <v>40</v>
      </c>
      <c r="AQ6" s="247" t="s">
        <v>41</v>
      </c>
      <c r="AR6" s="247" t="s">
        <v>42</v>
      </c>
      <c r="AS6" s="247" t="s">
        <v>39</v>
      </c>
      <c r="AT6" s="247" t="s">
        <v>40</v>
      </c>
      <c r="AU6" s="247" t="s">
        <v>41</v>
      </c>
      <c r="AV6" s="247" t="s">
        <v>42</v>
      </c>
      <c r="AW6" s="277"/>
      <c r="AX6" s="277"/>
      <c r="AY6" s="277"/>
      <c r="AZ6" s="277"/>
      <c r="BA6" s="277"/>
      <c r="BB6" s="277"/>
      <c r="BC6" s="277"/>
      <c r="BD6" s="277"/>
      <c r="BE6" s="277"/>
      <c r="BF6" s="277"/>
      <c r="BG6" s="277"/>
      <c r="BH6" s="277"/>
      <c r="BI6" s="277"/>
      <c r="BJ6" s="277"/>
      <c r="BK6" s="277"/>
      <c r="BL6" s="277"/>
      <c r="BM6" s="277"/>
      <c r="BN6" s="277"/>
      <c r="BO6" s="277"/>
      <c r="BP6" s="277"/>
      <c r="BQ6" s="277"/>
      <c r="BR6" s="277"/>
      <c r="BS6" s="277"/>
      <c r="BT6" s="277"/>
      <c r="BU6" s="277"/>
      <c r="BV6" s="277"/>
      <c r="BW6" s="277"/>
    </row>
    <row r="7" spans="1:75" s="263" customFormat="1" ht="38.25" customHeight="1" x14ac:dyDescent="0.25">
      <c r="A7" s="426" t="s">
        <v>43</v>
      </c>
      <c r="B7" s="391" t="s">
        <v>44</v>
      </c>
      <c r="C7" s="391" t="s">
        <v>45</v>
      </c>
      <c r="D7" s="391" t="s">
        <v>540</v>
      </c>
      <c r="E7" s="391" t="s">
        <v>47</v>
      </c>
      <c r="F7" s="391" t="s">
        <v>326</v>
      </c>
      <c r="G7" s="391"/>
      <c r="H7" s="391" t="s">
        <v>660</v>
      </c>
      <c r="I7" s="391" t="s">
        <v>590</v>
      </c>
      <c r="J7" s="391" t="s">
        <v>661</v>
      </c>
      <c r="K7" s="391" t="s">
        <v>662</v>
      </c>
      <c r="L7" s="67" t="s">
        <v>663</v>
      </c>
      <c r="M7" s="67" t="s">
        <v>664</v>
      </c>
      <c r="N7" s="67" t="s">
        <v>74</v>
      </c>
      <c r="O7" s="67">
        <v>0</v>
      </c>
      <c r="P7" s="83">
        <v>1</v>
      </c>
      <c r="Q7" s="253"/>
      <c r="R7" s="253"/>
      <c r="S7" s="253"/>
      <c r="T7" s="253"/>
      <c r="U7" s="253"/>
      <c r="V7" s="278">
        <v>154683793</v>
      </c>
      <c r="W7" s="655">
        <v>45317466258</v>
      </c>
      <c r="X7" s="428" t="s">
        <v>665</v>
      </c>
      <c r="Y7" s="68">
        <v>1</v>
      </c>
      <c r="Z7" s="68">
        <v>1</v>
      </c>
      <c r="AA7" s="68">
        <v>8.3333299999999999E-2</v>
      </c>
      <c r="AB7" s="66" t="s">
        <v>666</v>
      </c>
      <c r="AC7" s="253"/>
      <c r="AD7" s="253"/>
      <c r="AE7" s="253"/>
      <c r="AF7" s="253"/>
      <c r="AG7" s="68">
        <v>1</v>
      </c>
      <c r="AH7" s="68">
        <v>1</v>
      </c>
      <c r="AI7" s="68">
        <v>0.16666665999999999</v>
      </c>
      <c r="AJ7" s="66" t="s">
        <v>667</v>
      </c>
      <c r="AK7" s="253"/>
      <c r="AL7" s="253"/>
      <c r="AM7" s="253"/>
      <c r="AN7" s="253"/>
      <c r="AO7" s="68">
        <v>1</v>
      </c>
      <c r="AP7" s="68">
        <v>1</v>
      </c>
      <c r="AQ7" s="68">
        <v>0.25</v>
      </c>
      <c r="AR7" s="66" t="s">
        <v>668</v>
      </c>
      <c r="AS7" s="253"/>
      <c r="AT7" s="253"/>
      <c r="AU7" s="253"/>
      <c r="AV7" s="253"/>
      <c r="AW7" s="279"/>
      <c r="AX7" s="279"/>
      <c r="AY7" s="279"/>
      <c r="AZ7" s="279"/>
      <c r="BA7" s="279"/>
      <c r="BB7" s="279"/>
      <c r="BC7" s="279"/>
      <c r="BD7" s="279"/>
      <c r="BE7" s="279"/>
      <c r="BF7" s="279"/>
      <c r="BG7" s="279"/>
      <c r="BH7" s="279"/>
      <c r="BI7" s="279"/>
      <c r="BJ7" s="279"/>
      <c r="BK7" s="279"/>
      <c r="BL7" s="279"/>
      <c r="BM7" s="279"/>
      <c r="BN7" s="279"/>
      <c r="BO7" s="279"/>
      <c r="BP7" s="279"/>
      <c r="BQ7" s="279"/>
      <c r="BR7" s="279"/>
      <c r="BS7" s="279"/>
      <c r="BT7" s="279"/>
      <c r="BU7" s="279"/>
      <c r="BV7" s="279"/>
      <c r="BW7" s="279"/>
    </row>
    <row r="8" spans="1:75" s="263" customFormat="1" ht="51" customHeight="1" x14ac:dyDescent="0.25">
      <c r="A8" s="402"/>
      <c r="B8" s="391"/>
      <c r="C8" s="391"/>
      <c r="D8" s="391"/>
      <c r="E8" s="391"/>
      <c r="F8" s="391"/>
      <c r="G8" s="391"/>
      <c r="H8" s="391"/>
      <c r="I8" s="391"/>
      <c r="J8" s="391"/>
      <c r="K8" s="391"/>
      <c r="L8" s="80" t="s">
        <v>669</v>
      </c>
      <c r="M8" s="80" t="s">
        <v>670</v>
      </c>
      <c r="N8" s="80" t="s">
        <v>74</v>
      </c>
      <c r="O8" s="80">
        <v>0</v>
      </c>
      <c r="P8" s="81">
        <v>1</v>
      </c>
      <c r="Q8" s="253"/>
      <c r="R8" s="253"/>
      <c r="S8" s="253"/>
      <c r="T8" s="253"/>
      <c r="U8" s="253"/>
      <c r="V8" s="280">
        <v>74818490</v>
      </c>
      <c r="W8" s="656"/>
      <c r="X8" s="428"/>
      <c r="Y8" s="81">
        <v>1</v>
      </c>
      <c r="Z8" s="85">
        <v>1</v>
      </c>
      <c r="AA8" s="81">
        <v>8.3333329999999997E-2</v>
      </c>
      <c r="AB8" s="73" t="s">
        <v>671</v>
      </c>
      <c r="AC8" s="253"/>
      <c r="AD8" s="253"/>
      <c r="AE8" s="253"/>
      <c r="AF8" s="253"/>
      <c r="AG8" s="81">
        <v>1</v>
      </c>
      <c r="AH8" s="85">
        <v>1</v>
      </c>
      <c r="AI8" s="81">
        <v>0.16666665999999999</v>
      </c>
      <c r="AJ8" s="73" t="s">
        <v>672</v>
      </c>
      <c r="AK8" s="253"/>
      <c r="AL8" s="253"/>
      <c r="AM8" s="253"/>
      <c r="AN8" s="253"/>
      <c r="AO8" s="81">
        <v>1</v>
      </c>
      <c r="AP8" s="85">
        <v>1</v>
      </c>
      <c r="AQ8" s="81">
        <v>0.25</v>
      </c>
      <c r="AR8" s="73" t="s">
        <v>673</v>
      </c>
      <c r="AS8" s="253"/>
      <c r="AT8" s="253"/>
      <c r="AU8" s="253"/>
      <c r="AV8" s="253"/>
      <c r="AW8" s="279"/>
      <c r="AX8" s="279"/>
      <c r="AY8" s="279"/>
      <c r="AZ8" s="279"/>
      <c r="BA8" s="279"/>
      <c r="BB8" s="279"/>
      <c r="BC8" s="279"/>
      <c r="BD8" s="279"/>
      <c r="BE8" s="279"/>
      <c r="BF8" s="279"/>
      <c r="BG8" s="279"/>
      <c r="BH8" s="279"/>
      <c r="BI8" s="279"/>
      <c r="BJ8" s="279"/>
      <c r="BK8" s="279"/>
      <c r="BL8" s="279"/>
      <c r="BM8" s="279"/>
      <c r="BN8" s="279"/>
      <c r="BO8" s="279"/>
      <c r="BP8" s="279"/>
      <c r="BQ8" s="279"/>
      <c r="BR8" s="279"/>
      <c r="BS8" s="279"/>
      <c r="BT8" s="279"/>
      <c r="BU8" s="279"/>
      <c r="BV8" s="279"/>
      <c r="BW8" s="279"/>
    </row>
    <row r="9" spans="1:75" s="263" customFormat="1" ht="60" x14ac:dyDescent="0.25">
      <c r="A9" s="402"/>
      <c r="B9" s="391"/>
      <c r="C9" s="391"/>
      <c r="D9" s="391"/>
      <c r="E9" s="391"/>
      <c r="F9" s="391"/>
      <c r="G9" s="391"/>
      <c r="H9" s="391"/>
      <c r="I9" s="391"/>
      <c r="J9" s="391"/>
      <c r="K9" s="391"/>
      <c r="L9" s="67" t="s">
        <v>674</v>
      </c>
      <c r="M9" s="67" t="s">
        <v>675</v>
      </c>
      <c r="N9" s="67" t="s">
        <v>74</v>
      </c>
      <c r="O9" s="67"/>
      <c r="P9" s="83">
        <v>1</v>
      </c>
      <c r="Q9" s="253"/>
      <c r="R9" s="253"/>
      <c r="S9" s="253"/>
      <c r="T9" s="253"/>
      <c r="U9" s="253"/>
      <c r="V9" s="278">
        <v>74818490</v>
      </c>
      <c r="W9" s="656"/>
      <c r="X9" s="428"/>
      <c r="Y9" s="68">
        <v>0.35</v>
      </c>
      <c r="Z9" s="67">
        <v>1</v>
      </c>
      <c r="AA9" s="68">
        <v>0.35</v>
      </c>
      <c r="AB9" s="66" t="s">
        <v>676</v>
      </c>
      <c r="AC9" s="253"/>
      <c r="AD9" s="253"/>
      <c r="AE9" s="253"/>
      <c r="AF9" s="253"/>
      <c r="AG9" s="68">
        <v>0.36</v>
      </c>
      <c r="AH9" s="67">
        <v>1</v>
      </c>
      <c r="AI9" s="68">
        <v>0.36</v>
      </c>
      <c r="AJ9" s="66" t="s">
        <v>676</v>
      </c>
      <c r="AK9" s="253"/>
      <c r="AL9" s="253"/>
      <c r="AM9" s="253"/>
      <c r="AN9" s="253"/>
      <c r="AO9" s="68">
        <v>0.37</v>
      </c>
      <c r="AP9" s="67">
        <v>1</v>
      </c>
      <c r="AQ9" s="68">
        <v>0.37</v>
      </c>
      <c r="AR9" s="66" t="s">
        <v>677</v>
      </c>
      <c r="AS9" s="253"/>
      <c r="AT9" s="253"/>
      <c r="AU9" s="253"/>
      <c r="AV9" s="253"/>
      <c r="AW9" s="279"/>
      <c r="AX9" s="279"/>
      <c r="AY9" s="279"/>
      <c r="AZ9" s="279"/>
      <c r="BA9" s="279"/>
      <c r="BB9" s="279"/>
      <c r="BC9" s="279"/>
      <c r="BD9" s="279"/>
      <c r="BE9" s="279"/>
      <c r="BF9" s="279"/>
      <c r="BG9" s="279"/>
      <c r="BH9" s="279"/>
      <c r="BI9" s="279"/>
      <c r="BJ9" s="279"/>
      <c r="BK9" s="279"/>
      <c r="BL9" s="279"/>
      <c r="BM9" s="279"/>
      <c r="BN9" s="279"/>
      <c r="BO9" s="279"/>
      <c r="BP9" s="279"/>
      <c r="BQ9" s="279"/>
      <c r="BR9" s="279"/>
      <c r="BS9" s="279"/>
      <c r="BT9" s="279"/>
      <c r="BU9" s="279"/>
      <c r="BV9" s="279"/>
      <c r="BW9" s="279"/>
    </row>
    <row r="10" spans="1:75" s="284" customFormat="1" ht="49.5" customHeight="1" x14ac:dyDescent="0.25">
      <c r="A10" s="281"/>
      <c r="B10" s="281"/>
      <c r="C10" s="281"/>
      <c r="D10" s="281"/>
      <c r="E10" s="281"/>
      <c r="F10" s="281"/>
      <c r="G10" s="281"/>
      <c r="H10" s="281"/>
      <c r="I10" s="281"/>
      <c r="J10" s="281"/>
      <c r="K10" s="281"/>
      <c r="L10" s="281"/>
      <c r="M10" s="281"/>
      <c r="N10" s="281"/>
      <c r="O10" s="281"/>
      <c r="P10" s="281"/>
      <c r="Q10" s="281"/>
      <c r="R10" s="281"/>
      <c r="S10" s="281"/>
      <c r="T10" s="281"/>
      <c r="U10" s="281"/>
      <c r="V10" s="282"/>
      <c r="W10" s="282"/>
      <c r="X10" s="281"/>
      <c r="Y10" s="388" t="s">
        <v>99</v>
      </c>
      <c r="Z10" s="388"/>
      <c r="AA10" s="283">
        <f>+AVERAGE(AA7:AA9)</f>
        <v>0.17222221000000001</v>
      </c>
      <c r="AB10" s="281"/>
      <c r="AC10" s="281"/>
      <c r="AD10" s="281"/>
      <c r="AE10" s="281"/>
      <c r="AF10" s="281"/>
      <c r="AG10" s="388" t="s">
        <v>865</v>
      </c>
      <c r="AH10" s="388"/>
      <c r="AI10" s="283">
        <f>+AVERAGE(AI7:AI9)</f>
        <v>0.23111110666666668</v>
      </c>
      <c r="AJ10" s="281"/>
      <c r="AK10" s="281"/>
      <c r="AL10" s="281"/>
      <c r="AM10" s="281"/>
      <c r="AN10" s="281"/>
      <c r="AO10" s="388" t="s">
        <v>865</v>
      </c>
      <c r="AP10" s="388"/>
      <c r="AQ10" s="283">
        <f>+AVERAGE(AQ7:AQ9)</f>
        <v>0.28999999999999998</v>
      </c>
      <c r="AR10" s="281"/>
      <c r="AS10" s="281"/>
      <c r="AT10" s="281"/>
      <c r="AU10" s="281"/>
      <c r="AV10" s="281"/>
      <c r="AW10" s="281"/>
      <c r="AX10" s="281"/>
      <c r="AY10" s="281"/>
      <c r="AZ10" s="281"/>
      <c r="BA10" s="281"/>
      <c r="BB10" s="281"/>
      <c r="BC10" s="281"/>
      <c r="BD10" s="281"/>
      <c r="BE10" s="281"/>
      <c r="BF10" s="281"/>
      <c r="BG10" s="281"/>
      <c r="BH10" s="281"/>
      <c r="BI10" s="281"/>
      <c r="BJ10" s="281"/>
      <c r="BK10" s="281"/>
      <c r="BL10" s="281"/>
      <c r="BM10" s="281"/>
      <c r="BN10" s="281"/>
      <c r="BO10" s="281"/>
      <c r="BP10" s="281"/>
      <c r="BQ10" s="281"/>
      <c r="BR10" s="281"/>
      <c r="BS10" s="281"/>
      <c r="BT10" s="281"/>
      <c r="BU10" s="281"/>
      <c r="BV10" s="281"/>
      <c r="BW10" s="281"/>
    </row>
    <row r="11" spans="1:75" x14ac:dyDescent="0.25">
      <c r="A11" s="285"/>
      <c r="B11" s="285"/>
      <c r="C11" s="285"/>
      <c r="D11" s="285"/>
      <c r="E11" s="285"/>
      <c r="F11" s="285"/>
      <c r="G11" s="285"/>
      <c r="H11" s="285"/>
      <c r="I11" s="285"/>
      <c r="J11" s="285"/>
      <c r="K11" s="285"/>
      <c r="L11" s="285"/>
      <c r="M11" s="285"/>
      <c r="N11" s="285"/>
      <c r="O11" s="285"/>
      <c r="P11" s="285"/>
      <c r="Q11" s="285"/>
      <c r="R11" s="285"/>
      <c r="S11" s="285"/>
      <c r="T11" s="285"/>
      <c r="U11" s="285"/>
      <c r="V11" s="286"/>
      <c r="W11" s="286"/>
      <c r="X11" s="285"/>
      <c r="Y11" s="285"/>
      <c r="Z11" s="285"/>
      <c r="AA11" s="285"/>
      <c r="AB11" s="285"/>
      <c r="AC11" s="285"/>
      <c r="AD11" s="285"/>
      <c r="AE11" s="285"/>
      <c r="AF11" s="285"/>
      <c r="AG11" s="285"/>
      <c r="AH11" s="285"/>
      <c r="AI11" s="285"/>
      <c r="AJ11" s="285"/>
      <c r="AK11" s="285"/>
      <c r="AL11" s="285"/>
      <c r="AM11" s="285"/>
      <c r="AN11" s="285"/>
      <c r="AO11" s="285"/>
      <c r="AP11" s="285"/>
      <c r="AQ11" s="285"/>
      <c r="AR11" s="285"/>
      <c r="AS11" s="285"/>
      <c r="AT11" s="285"/>
      <c r="AU11" s="285"/>
      <c r="AV11" s="285"/>
      <c r="AW11" s="285"/>
      <c r="AX11" s="285"/>
      <c r="AY11" s="285"/>
      <c r="AZ11" s="285"/>
      <c r="BA11" s="285"/>
      <c r="BB11" s="285"/>
      <c r="BC11" s="285"/>
      <c r="BD11" s="285"/>
      <c r="BE11" s="285"/>
      <c r="BF11" s="285"/>
      <c r="BG11" s="285"/>
      <c r="BH11" s="285"/>
      <c r="BI11" s="285"/>
      <c r="BJ11" s="285"/>
      <c r="BK11" s="285"/>
      <c r="BL11" s="285"/>
      <c r="BM11" s="285"/>
      <c r="BN11" s="285"/>
      <c r="BO11" s="285"/>
      <c r="BP11" s="285"/>
      <c r="BQ11" s="285"/>
      <c r="BR11" s="285"/>
      <c r="BS11" s="285"/>
      <c r="BT11" s="285"/>
      <c r="BU11" s="285"/>
      <c r="BV11" s="285"/>
      <c r="BW11" s="285"/>
    </row>
    <row r="12" spans="1:75" x14ac:dyDescent="0.25">
      <c r="A12" s="285"/>
      <c r="B12" s="285"/>
      <c r="C12" s="285"/>
      <c r="D12" s="285"/>
      <c r="E12" s="285"/>
      <c r="F12" s="285"/>
      <c r="G12" s="285"/>
      <c r="H12" s="285"/>
      <c r="I12" s="285"/>
      <c r="J12" s="285"/>
      <c r="K12" s="285"/>
      <c r="L12" s="285"/>
      <c r="M12" s="285"/>
      <c r="N12" s="285"/>
      <c r="O12" s="285"/>
      <c r="P12" s="285"/>
      <c r="Q12" s="285"/>
      <c r="R12" s="285"/>
      <c r="S12" s="285"/>
      <c r="T12" s="285"/>
      <c r="U12" s="285"/>
      <c r="V12" s="286"/>
      <c r="W12" s="286"/>
      <c r="X12" s="285"/>
      <c r="Y12" s="285"/>
      <c r="Z12" s="285"/>
      <c r="AA12" s="285"/>
      <c r="AB12" s="285"/>
      <c r="AC12" s="285"/>
      <c r="AD12" s="285"/>
      <c r="AE12" s="285"/>
      <c r="AF12" s="285"/>
      <c r="AG12" s="285"/>
      <c r="AH12" s="285"/>
      <c r="AI12" s="285"/>
      <c r="AJ12" s="285"/>
      <c r="AK12" s="285"/>
      <c r="AL12" s="285"/>
      <c r="AM12" s="285"/>
      <c r="AN12" s="285"/>
      <c r="AO12" s="285"/>
      <c r="AP12" s="285"/>
      <c r="AQ12" s="285"/>
      <c r="AR12" s="285"/>
      <c r="AS12" s="285"/>
      <c r="AT12" s="285"/>
      <c r="AU12" s="285"/>
      <c r="AV12" s="285"/>
      <c r="AW12" s="285"/>
      <c r="AX12" s="285"/>
      <c r="AY12" s="285"/>
      <c r="AZ12" s="285"/>
      <c r="BA12" s="285"/>
      <c r="BB12" s="285"/>
      <c r="BC12" s="285"/>
      <c r="BD12" s="285"/>
      <c r="BE12" s="285"/>
      <c r="BF12" s="285"/>
      <c r="BG12" s="285"/>
      <c r="BH12" s="285"/>
      <c r="BI12" s="285"/>
      <c r="BJ12" s="285"/>
      <c r="BK12" s="285"/>
      <c r="BL12" s="285"/>
      <c r="BM12" s="285"/>
      <c r="BN12" s="285"/>
      <c r="BO12" s="285"/>
      <c r="BP12" s="285"/>
      <c r="BQ12" s="285"/>
      <c r="BR12" s="285"/>
      <c r="BS12" s="285"/>
      <c r="BT12" s="285"/>
      <c r="BU12" s="285"/>
      <c r="BV12" s="285"/>
      <c r="BW12" s="285"/>
    </row>
    <row r="13" spans="1:75" x14ac:dyDescent="0.25">
      <c r="A13" s="285"/>
      <c r="B13" s="285"/>
      <c r="C13" s="285"/>
      <c r="D13" s="285"/>
      <c r="E13" s="285"/>
      <c r="F13" s="285"/>
      <c r="G13" s="285"/>
      <c r="H13" s="285"/>
      <c r="I13" s="285"/>
      <c r="J13" s="285"/>
      <c r="K13" s="285"/>
      <c r="L13" s="285"/>
      <c r="M13" s="285"/>
      <c r="N13" s="285"/>
      <c r="O13" s="285"/>
      <c r="P13" s="285"/>
      <c r="Q13" s="285"/>
      <c r="R13" s="285"/>
      <c r="S13" s="285"/>
      <c r="T13" s="285"/>
      <c r="U13" s="285"/>
      <c r="V13" s="286"/>
      <c r="W13" s="286"/>
      <c r="X13" s="285"/>
      <c r="Y13" s="285"/>
      <c r="Z13" s="285"/>
      <c r="AA13" s="285"/>
      <c r="AB13" s="285"/>
      <c r="AC13" s="285"/>
      <c r="AD13" s="285"/>
      <c r="AE13" s="285"/>
      <c r="AF13" s="285"/>
      <c r="AG13" s="285"/>
      <c r="AH13" s="285"/>
      <c r="AI13" s="285"/>
      <c r="AJ13" s="285"/>
      <c r="AK13" s="285"/>
      <c r="AL13" s="285"/>
      <c r="AM13" s="285"/>
      <c r="AN13" s="285"/>
      <c r="AO13" s="285"/>
      <c r="AP13" s="285"/>
      <c r="AQ13" s="285"/>
      <c r="AR13" s="285"/>
      <c r="AS13" s="285"/>
      <c r="AT13" s="285"/>
      <c r="AU13" s="285"/>
      <c r="AV13" s="285"/>
      <c r="AW13" s="285"/>
      <c r="AX13" s="285"/>
      <c r="AY13" s="285"/>
      <c r="AZ13" s="285"/>
      <c r="BA13" s="285"/>
      <c r="BB13" s="285"/>
      <c r="BC13" s="285"/>
      <c r="BD13" s="285"/>
      <c r="BE13" s="285"/>
      <c r="BF13" s="285"/>
      <c r="BG13" s="285"/>
      <c r="BH13" s="285"/>
      <c r="BI13" s="285"/>
      <c r="BJ13" s="285"/>
      <c r="BK13" s="285"/>
      <c r="BL13" s="285"/>
      <c r="BM13" s="285"/>
      <c r="BN13" s="285"/>
      <c r="BO13" s="285"/>
      <c r="BP13" s="285"/>
      <c r="BQ13" s="285"/>
      <c r="BR13" s="285"/>
      <c r="BS13" s="285"/>
      <c r="BT13" s="285"/>
      <c r="BU13" s="285"/>
      <c r="BV13" s="285"/>
      <c r="BW13" s="285"/>
    </row>
    <row r="14" spans="1:75" x14ac:dyDescent="0.25">
      <c r="A14" s="285"/>
      <c r="B14" s="285"/>
      <c r="C14" s="285"/>
      <c r="D14" s="285"/>
      <c r="E14" s="285"/>
      <c r="F14" s="285"/>
      <c r="G14" s="285"/>
      <c r="H14" s="285"/>
      <c r="I14" s="285"/>
      <c r="J14" s="285"/>
      <c r="K14" s="285"/>
      <c r="L14" s="285"/>
      <c r="M14" s="285"/>
      <c r="N14" s="285"/>
      <c r="O14" s="285"/>
      <c r="P14" s="285"/>
      <c r="Q14" s="285"/>
      <c r="R14" s="285"/>
      <c r="S14" s="285"/>
      <c r="T14" s="285"/>
      <c r="U14" s="285"/>
      <c r="V14" s="286"/>
      <c r="W14" s="286"/>
      <c r="X14" s="285"/>
      <c r="Y14" s="285"/>
      <c r="Z14" s="285"/>
      <c r="AA14" s="285"/>
      <c r="AB14" s="285"/>
      <c r="AC14" s="285"/>
      <c r="AD14" s="285"/>
      <c r="AE14" s="285"/>
      <c r="AF14" s="285"/>
      <c r="AG14" s="285"/>
      <c r="AH14" s="285"/>
      <c r="AI14" s="285"/>
      <c r="AJ14" s="285"/>
      <c r="AK14" s="285"/>
      <c r="AL14" s="285"/>
      <c r="AM14" s="285"/>
      <c r="AN14" s="285"/>
      <c r="AO14" s="285"/>
      <c r="AP14" s="285"/>
      <c r="AQ14" s="285"/>
      <c r="AR14" s="285"/>
      <c r="AS14" s="285"/>
      <c r="AT14" s="285"/>
      <c r="AU14" s="285"/>
      <c r="AV14" s="285"/>
      <c r="AW14" s="285"/>
      <c r="AX14" s="285"/>
      <c r="AY14" s="285"/>
      <c r="AZ14" s="285"/>
      <c r="BA14" s="285"/>
      <c r="BB14" s="285"/>
      <c r="BC14" s="285"/>
      <c r="BD14" s="285"/>
      <c r="BE14" s="285"/>
      <c r="BF14" s="285"/>
      <c r="BG14" s="285"/>
      <c r="BH14" s="285"/>
      <c r="BI14" s="285"/>
      <c r="BJ14" s="285"/>
      <c r="BK14" s="285"/>
      <c r="BL14" s="285"/>
      <c r="BM14" s="285"/>
      <c r="BN14" s="285"/>
      <c r="BO14" s="285"/>
      <c r="BP14" s="285"/>
      <c r="BQ14" s="285"/>
      <c r="BR14" s="285"/>
      <c r="BS14" s="285"/>
      <c r="BT14" s="285"/>
      <c r="BU14" s="285"/>
      <c r="BV14" s="285"/>
      <c r="BW14" s="285"/>
    </row>
    <row r="15" spans="1:75" x14ac:dyDescent="0.25">
      <c r="A15" s="285"/>
      <c r="B15" s="285"/>
      <c r="C15" s="285"/>
      <c r="D15" s="285"/>
      <c r="E15" s="285"/>
      <c r="F15" s="285"/>
      <c r="G15" s="285"/>
      <c r="H15" s="285"/>
      <c r="I15" s="285"/>
      <c r="J15" s="285"/>
      <c r="K15" s="285"/>
      <c r="L15" s="285"/>
      <c r="M15" s="285"/>
      <c r="N15" s="285"/>
      <c r="O15" s="285"/>
      <c r="P15" s="285"/>
      <c r="Q15" s="285"/>
      <c r="R15" s="285"/>
      <c r="S15" s="285"/>
      <c r="T15" s="285"/>
      <c r="U15" s="285"/>
      <c r="V15" s="286"/>
      <c r="W15" s="286"/>
      <c r="X15" s="285"/>
      <c r="Y15" s="285"/>
      <c r="Z15" s="285"/>
      <c r="AA15" s="285"/>
      <c r="AB15" s="285"/>
      <c r="AC15" s="285"/>
      <c r="AD15" s="285"/>
      <c r="AE15" s="285"/>
      <c r="AF15" s="285"/>
      <c r="AG15" s="285"/>
      <c r="AH15" s="285"/>
      <c r="AI15" s="285"/>
      <c r="AJ15" s="285"/>
      <c r="AK15" s="285"/>
      <c r="AL15" s="285"/>
      <c r="AM15" s="285"/>
      <c r="AN15" s="285"/>
      <c r="AO15" s="285"/>
      <c r="AP15" s="285"/>
      <c r="AQ15" s="285"/>
      <c r="AR15" s="285"/>
      <c r="AS15" s="285"/>
      <c r="AT15" s="285"/>
      <c r="AU15" s="285"/>
      <c r="AV15" s="285"/>
      <c r="AW15" s="285"/>
      <c r="AX15" s="285"/>
      <c r="AY15" s="285"/>
      <c r="AZ15" s="285"/>
      <c r="BA15" s="285"/>
      <c r="BB15" s="285"/>
      <c r="BC15" s="285"/>
      <c r="BD15" s="285"/>
      <c r="BE15" s="285"/>
      <c r="BF15" s="285"/>
      <c r="BG15" s="285"/>
      <c r="BH15" s="285"/>
      <c r="BI15" s="285"/>
      <c r="BJ15" s="285"/>
      <c r="BK15" s="285"/>
      <c r="BL15" s="285"/>
      <c r="BM15" s="285"/>
      <c r="BN15" s="285"/>
      <c r="BO15" s="285"/>
      <c r="BP15" s="285"/>
      <c r="BQ15" s="285"/>
      <c r="BR15" s="285"/>
      <c r="BS15" s="285"/>
      <c r="BT15" s="285"/>
      <c r="BU15" s="285"/>
      <c r="BV15" s="285"/>
      <c r="BW15" s="285"/>
    </row>
    <row r="16" spans="1:75" x14ac:dyDescent="0.25">
      <c r="A16" s="285"/>
      <c r="B16" s="285"/>
      <c r="C16" s="285"/>
      <c r="D16" s="285"/>
      <c r="E16" s="285"/>
      <c r="F16" s="285"/>
      <c r="G16" s="285"/>
      <c r="H16" s="285"/>
      <c r="I16" s="285"/>
      <c r="J16" s="285"/>
      <c r="K16" s="285"/>
      <c r="L16" s="285"/>
      <c r="M16" s="285"/>
      <c r="N16" s="285"/>
      <c r="O16" s="285"/>
      <c r="P16" s="285"/>
      <c r="Q16" s="285"/>
      <c r="R16" s="285"/>
      <c r="S16" s="285"/>
      <c r="T16" s="285"/>
      <c r="U16" s="285"/>
      <c r="V16" s="286"/>
      <c r="W16" s="286"/>
      <c r="X16" s="285"/>
      <c r="Y16" s="285"/>
      <c r="Z16" s="285"/>
      <c r="AA16" s="285"/>
      <c r="AB16" s="285"/>
      <c r="AC16" s="285"/>
      <c r="AD16" s="285"/>
      <c r="AE16" s="285"/>
      <c r="AF16" s="285"/>
      <c r="AG16" s="285"/>
      <c r="AH16" s="285"/>
      <c r="AI16" s="285"/>
      <c r="AJ16" s="285"/>
      <c r="AK16" s="285"/>
      <c r="AL16" s="285"/>
      <c r="AM16" s="285"/>
      <c r="AN16" s="285"/>
      <c r="AO16" s="285"/>
      <c r="AP16" s="285"/>
      <c r="AQ16" s="285"/>
      <c r="AR16" s="285"/>
      <c r="AS16" s="285"/>
      <c r="AT16" s="285"/>
      <c r="AU16" s="285"/>
      <c r="AV16" s="285"/>
      <c r="AW16" s="285"/>
      <c r="AX16" s="285"/>
      <c r="AY16" s="285"/>
      <c r="AZ16" s="285"/>
      <c r="BA16" s="285"/>
      <c r="BB16" s="285"/>
      <c r="BC16" s="285"/>
      <c r="BD16" s="285"/>
      <c r="BE16" s="285"/>
      <c r="BF16" s="285"/>
      <c r="BG16" s="285"/>
      <c r="BH16" s="285"/>
      <c r="BI16" s="285"/>
      <c r="BJ16" s="285"/>
      <c r="BK16" s="285"/>
      <c r="BL16" s="285"/>
      <c r="BM16" s="285"/>
      <c r="BN16" s="285"/>
      <c r="BO16" s="285"/>
      <c r="BP16" s="285"/>
      <c r="BQ16" s="285"/>
      <c r="BR16" s="285"/>
      <c r="BS16" s="285"/>
      <c r="BT16" s="285"/>
      <c r="BU16" s="285"/>
      <c r="BV16" s="285"/>
      <c r="BW16" s="285"/>
    </row>
    <row r="17" spans="1:75" x14ac:dyDescent="0.25">
      <c r="A17" s="285"/>
      <c r="B17" s="285"/>
      <c r="C17" s="285"/>
      <c r="D17" s="285"/>
      <c r="E17" s="285"/>
      <c r="F17" s="285"/>
      <c r="G17" s="285"/>
      <c r="H17" s="285"/>
      <c r="I17" s="285"/>
      <c r="J17" s="285"/>
      <c r="K17" s="285"/>
      <c r="L17" s="285"/>
      <c r="M17" s="285"/>
      <c r="N17" s="285"/>
      <c r="O17" s="285"/>
      <c r="P17" s="285"/>
      <c r="Q17" s="285"/>
      <c r="R17" s="285"/>
      <c r="S17" s="285"/>
      <c r="T17" s="285"/>
      <c r="U17" s="285"/>
      <c r="V17" s="286"/>
      <c r="W17" s="286"/>
      <c r="X17" s="285"/>
      <c r="Y17" s="285"/>
      <c r="Z17" s="285"/>
      <c r="AA17" s="285"/>
      <c r="AB17" s="285"/>
      <c r="AC17" s="285"/>
      <c r="AD17" s="285"/>
      <c r="AE17" s="285"/>
      <c r="AF17" s="285"/>
      <c r="AG17" s="285"/>
      <c r="AH17" s="285"/>
      <c r="AI17" s="285"/>
      <c r="AJ17" s="285"/>
      <c r="AK17" s="285"/>
      <c r="AL17" s="285"/>
      <c r="AM17" s="285"/>
      <c r="AN17" s="285"/>
      <c r="AO17" s="285"/>
      <c r="AP17" s="285"/>
      <c r="AQ17" s="285"/>
      <c r="AR17" s="285"/>
      <c r="AS17" s="285"/>
      <c r="AT17" s="285"/>
      <c r="AU17" s="285"/>
      <c r="AV17" s="285"/>
      <c r="AW17" s="285"/>
      <c r="AX17" s="285"/>
      <c r="AY17" s="285"/>
      <c r="AZ17" s="285"/>
      <c r="BA17" s="285"/>
      <c r="BB17" s="285"/>
      <c r="BC17" s="285"/>
      <c r="BD17" s="285"/>
      <c r="BE17" s="285"/>
      <c r="BF17" s="285"/>
      <c r="BG17" s="285"/>
      <c r="BH17" s="285"/>
      <c r="BI17" s="285"/>
      <c r="BJ17" s="285"/>
      <c r="BK17" s="285"/>
      <c r="BL17" s="285"/>
      <c r="BM17" s="285"/>
      <c r="BN17" s="285"/>
      <c r="BO17" s="285"/>
      <c r="BP17" s="285"/>
      <c r="BQ17" s="285"/>
      <c r="BR17" s="285"/>
      <c r="BS17" s="285"/>
      <c r="BT17" s="285"/>
      <c r="BU17" s="285"/>
      <c r="BV17" s="285"/>
      <c r="BW17" s="285"/>
    </row>
    <row r="18" spans="1:75" x14ac:dyDescent="0.25">
      <c r="A18" s="285"/>
      <c r="B18" s="285"/>
      <c r="C18" s="285"/>
      <c r="D18" s="285"/>
      <c r="E18" s="285"/>
      <c r="F18" s="285"/>
      <c r="G18" s="285"/>
      <c r="H18" s="285"/>
      <c r="I18" s="285"/>
      <c r="J18" s="285"/>
      <c r="K18" s="285"/>
      <c r="L18" s="285"/>
      <c r="M18" s="285"/>
      <c r="N18" s="285"/>
      <c r="O18" s="285"/>
      <c r="P18" s="285"/>
      <c r="Q18" s="285"/>
      <c r="R18" s="285"/>
      <c r="S18" s="285"/>
      <c r="T18" s="285"/>
      <c r="U18" s="285"/>
      <c r="V18" s="286"/>
      <c r="W18" s="286"/>
      <c r="X18" s="285"/>
      <c r="Y18" s="285"/>
      <c r="Z18" s="285"/>
      <c r="AA18" s="285"/>
      <c r="AB18" s="285"/>
      <c r="AC18" s="285"/>
      <c r="AD18" s="285"/>
      <c r="AE18" s="285"/>
      <c r="AF18" s="285"/>
      <c r="AG18" s="285"/>
      <c r="AH18" s="285"/>
      <c r="AI18" s="285"/>
      <c r="AJ18" s="285"/>
      <c r="AK18" s="285"/>
      <c r="AL18" s="285"/>
      <c r="AM18" s="285"/>
      <c r="AN18" s="285"/>
      <c r="AO18" s="285"/>
      <c r="AP18" s="285"/>
      <c r="AQ18" s="285"/>
      <c r="AR18" s="285"/>
      <c r="AS18" s="285"/>
      <c r="AT18" s="285"/>
      <c r="AU18" s="285"/>
      <c r="AV18" s="285"/>
      <c r="AW18" s="285"/>
      <c r="AX18" s="285"/>
      <c r="AY18" s="285"/>
      <c r="AZ18" s="285"/>
      <c r="BA18" s="285"/>
      <c r="BB18" s="285"/>
      <c r="BC18" s="285"/>
      <c r="BD18" s="285"/>
      <c r="BE18" s="285"/>
      <c r="BF18" s="285"/>
      <c r="BG18" s="285"/>
      <c r="BH18" s="285"/>
      <c r="BI18" s="285"/>
      <c r="BJ18" s="285"/>
      <c r="BK18" s="285"/>
      <c r="BL18" s="285"/>
      <c r="BM18" s="285"/>
      <c r="BN18" s="285"/>
      <c r="BO18" s="285"/>
      <c r="BP18" s="285"/>
      <c r="BQ18" s="285"/>
      <c r="BR18" s="285"/>
      <c r="BS18" s="285"/>
      <c r="BT18" s="285"/>
      <c r="BU18" s="285"/>
      <c r="BV18" s="285"/>
      <c r="BW18" s="285"/>
    </row>
    <row r="19" spans="1:75" x14ac:dyDescent="0.25">
      <c r="A19" s="285"/>
      <c r="B19" s="285"/>
      <c r="C19" s="285"/>
      <c r="D19" s="285"/>
      <c r="E19" s="285"/>
      <c r="F19" s="285"/>
      <c r="G19" s="285"/>
      <c r="H19" s="285"/>
      <c r="I19" s="285"/>
      <c r="J19" s="285"/>
      <c r="K19" s="285"/>
      <c r="L19" s="285"/>
      <c r="M19" s="285"/>
      <c r="N19" s="285"/>
      <c r="O19" s="285"/>
      <c r="P19" s="285"/>
      <c r="Q19" s="285"/>
      <c r="R19" s="285"/>
      <c r="S19" s="285"/>
      <c r="T19" s="285"/>
      <c r="U19" s="285"/>
      <c r="V19" s="286"/>
      <c r="W19" s="286"/>
      <c r="X19" s="285"/>
      <c r="Y19" s="285"/>
      <c r="Z19" s="285"/>
      <c r="AA19" s="285"/>
      <c r="AB19" s="285"/>
      <c r="AC19" s="285"/>
      <c r="AD19" s="285"/>
      <c r="AE19" s="285"/>
      <c r="AF19" s="285"/>
      <c r="AG19" s="285"/>
      <c r="AH19" s="285"/>
      <c r="AI19" s="285"/>
      <c r="AJ19" s="285"/>
      <c r="AK19" s="285"/>
      <c r="AL19" s="285"/>
      <c r="AM19" s="285"/>
      <c r="AN19" s="285"/>
      <c r="AO19" s="285"/>
      <c r="AP19" s="285"/>
      <c r="AQ19" s="285"/>
      <c r="AR19" s="285"/>
      <c r="AS19" s="285"/>
      <c r="AT19" s="285"/>
      <c r="AU19" s="285"/>
      <c r="AV19" s="285"/>
      <c r="AW19" s="285"/>
      <c r="AX19" s="285"/>
      <c r="AY19" s="285"/>
      <c r="AZ19" s="285"/>
      <c r="BA19" s="285"/>
      <c r="BB19" s="285"/>
      <c r="BC19" s="285"/>
      <c r="BD19" s="285"/>
      <c r="BE19" s="285"/>
      <c r="BF19" s="285"/>
      <c r="BG19" s="285"/>
      <c r="BH19" s="285"/>
      <c r="BI19" s="285"/>
      <c r="BJ19" s="285"/>
      <c r="BK19" s="285"/>
      <c r="BL19" s="285"/>
      <c r="BM19" s="285"/>
      <c r="BN19" s="285"/>
      <c r="BO19" s="285"/>
      <c r="BP19" s="285"/>
      <c r="BQ19" s="285"/>
      <c r="BR19" s="285"/>
      <c r="BS19" s="285"/>
      <c r="BT19" s="285"/>
      <c r="BU19" s="285"/>
      <c r="BV19" s="285"/>
      <c r="BW19" s="285"/>
    </row>
    <row r="20" spans="1:75" x14ac:dyDescent="0.25">
      <c r="A20" s="285"/>
      <c r="B20" s="285"/>
      <c r="C20" s="285"/>
      <c r="D20" s="285"/>
      <c r="E20" s="285"/>
      <c r="F20" s="285"/>
      <c r="G20" s="285"/>
      <c r="H20" s="285"/>
      <c r="I20" s="285"/>
      <c r="J20" s="285"/>
      <c r="K20" s="285"/>
      <c r="L20" s="285"/>
      <c r="M20" s="285"/>
      <c r="N20" s="285"/>
      <c r="O20" s="285"/>
      <c r="P20" s="285"/>
      <c r="Q20" s="285"/>
      <c r="R20" s="285"/>
      <c r="S20" s="285"/>
      <c r="T20" s="285"/>
      <c r="U20" s="285"/>
      <c r="V20" s="286"/>
      <c r="W20" s="286"/>
      <c r="X20" s="285"/>
      <c r="Y20" s="285"/>
      <c r="Z20" s="285"/>
      <c r="AA20" s="285"/>
      <c r="AB20" s="285"/>
      <c r="AC20" s="285"/>
      <c r="AD20" s="285"/>
      <c r="AE20" s="285"/>
      <c r="AF20" s="285"/>
      <c r="AG20" s="285"/>
      <c r="AH20" s="285"/>
      <c r="AI20" s="285"/>
      <c r="AJ20" s="285"/>
      <c r="AK20" s="285"/>
      <c r="AL20" s="285"/>
      <c r="AM20" s="285"/>
      <c r="AN20" s="285"/>
      <c r="AO20" s="285"/>
      <c r="AP20" s="285"/>
      <c r="AQ20" s="285"/>
      <c r="AR20" s="285"/>
      <c r="AS20" s="285"/>
      <c r="AT20" s="285"/>
      <c r="AU20" s="285"/>
      <c r="AV20" s="285"/>
      <c r="AW20" s="285"/>
      <c r="AX20" s="285"/>
      <c r="AY20" s="285"/>
      <c r="AZ20" s="285"/>
      <c r="BA20" s="285"/>
      <c r="BB20" s="285"/>
      <c r="BC20" s="285"/>
      <c r="BD20" s="285"/>
      <c r="BE20" s="285"/>
      <c r="BF20" s="285"/>
      <c r="BG20" s="285"/>
      <c r="BH20" s="285"/>
      <c r="BI20" s="285"/>
      <c r="BJ20" s="285"/>
      <c r="BK20" s="285"/>
      <c r="BL20" s="285"/>
      <c r="BM20" s="285"/>
      <c r="BN20" s="285"/>
      <c r="BO20" s="285"/>
      <c r="BP20" s="285"/>
      <c r="BQ20" s="285"/>
      <c r="BR20" s="285"/>
      <c r="BS20" s="285"/>
      <c r="BT20" s="285"/>
      <c r="BU20" s="285"/>
      <c r="BV20" s="285"/>
      <c r="BW20" s="285"/>
    </row>
    <row r="21" spans="1:75" x14ac:dyDescent="0.25">
      <c r="A21" s="285"/>
      <c r="B21" s="285"/>
      <c r="C21" s="285"/>
      <c r="D21" s="285"/>
      <c r="E21" s="285"/>
      <c r="F21" s="285"/>
      <c r="G21" s="285"/>
      <c r="H21" s="285"/>
      <c r="I21" s="285"/>
      <c r="J21" s="285"/>
      <c r="K21" s="285"/>
      <c r="L21" s="285"/>
      <c r="M21" s="285"/>
      <c r="N21" s="285"/>
      <c r="O21" s="285"/>
      <c r="P21" s="285"/>
      <c r="Q21" s="285"/>
      <c r="R21" s="285"/>
      <c r="S21" s="285"/>
      <c r="T21" s="285"/>
      <c r="U21" s="285"/>
      <c r="V21" s="286"/>
      <c r="W21" s="286"/>
      <c r="X21" s="285"/>
      <c r="Y21" s="285"/>
      <c r="Z21" s="285"/>
      <c r="AA21" s="285"/>
      <c r="AB21" s="285"/>
      <c r="AC21" s="285"/>
      <c r="AD21" s="285"/>
      <c r="AE21" s="285"/>
      <c r="AF21" s="285"/>
      <c r="AG21" s="285"/>
      <c r="AH21" s="285"/>
      <c r="AI21" s="285"/>
      <c r="AJ21" s="285"/>
      <c r="AK21" s="285"/>
      <c r="AL21" s="285"/>
      <c r="AM21" s="285"/>
      <c r="AN21" s="285"/>
      <c r="AO21" s="285"/>
      <c r="AP21" s="285"/>
      <c r="AQ21" s="285"/>
      <c r="AR21" s="285"/>
      <c r="AS21" s="285"/>
      <c r="AT21" s="285"/>
      <c r="AU21" s="285"/>
      <c r="AV21" s="285"/>
      <c r="AW21" s="285"/>
      <c r="AX21" s="285"/>
      <c r="AY21" s="285"/>
      <c r="AZ21" s="285"/>
      <c r="BA21" s="285"/>
      <c r="BB21" s="285"/>
      <c r="BC21" s="285"/>
      <c r="BD21" s="285"/>
      <c r="BE21" s="285"/>
      <c r="BF21" s="285"/>
      <c r="BG21" s="285"/>
      <c r="BH21" s="285"/>
      <c r="BI21" s="285"/>
      <c r="BJ21" s="285"/>
      <c r="BK21" s="285"/>
      <c r="BL21" s="285"/>
      <c r="BM21" s="285"/>
      <c r="BN21" s="285"/>
      <c r="BO21" s="285"/>
      <c r="BP21" s="285"/>
      <c r="BQ21" s="285"/>
      <c r="BR21" s="285"/>
      <c r="BS21" s="285"/>
      <c r="BT21" s="285"/>
      <c r="BU21" s="285"/>
      <c r="BV21" s="285"/>
      <c r="BW21" s="285"/>
    </row>
    <row r="22" spans="1:75" x14ac:dyDescent="0.25">
      <c r="A22" s="285"/>
      <c r="B22" s="285"/>
      <c r="C22" s="285"/>
      <c r="D22" s="285"/>
      <c r="E22" s="285"/>
      <c r="F22" s="285"/>
      <c r="G22" s="285"/>
      <c r="H22" s="285"/>
      <c r="I22" s="285"/>
      <c r="J22" s="285"/>
      <c r="K22" s="285"/>
      <c r="L22" s="285"/>
      <c r="M22" s="285"/>
      <c r="N22" s="285"/>
      <c r="O22" s="285"/>
      <c r="P22" s="285"/>
      <c r="Q22" s="285"/>
      <c r="R22" s="285"/>
      <c r="S22" s="285"/>
      <c r="T22" s="285"/>
      <c r="U22" s="285"/>
      <c r="V22" s="286"/>
      <c r="W22" s="286"/>
      <c r="X22" s="285"/>
      <c r="Y22" s="285"/>
      <c r="Z22" s="285"/>
      <c r="AA22" s="285"/>
      <c r="AB22" s="285"/>
      <c r="AC22" s="285"/>
      <c r="AD22" s="285"/>
      <c r="AE22" s="285"/>
      <c r="AF22" s="285"/>
      <c r="AG22" s="285"/>
      <c r="AH22" s="285"/>
      <c r="AI22" s="285"/>
      <c r="AJ22" s="285"/>
      <c r="AK22" s="285"/>
      <c r="AL22" s="285"/>
      <c r="AM22" s="285"/>
      <c r="AN22" s="285"/>
      <c r="AO22" s="285"/>
      <c r="AP22" s="285"/>
      <c r="AQ22" s="285"/>
      <c r="AR22" s="285"/>
      <c r="AS22" s="285"/>
      <c r="AT22" s="285"/>
      <c r="AU22" s="285"/>
      <c r="AV22" s="285"/>
      <c r="AW22" s="285"/>
      <c r="AX22" s="285"/>
      <c r="AY22" s="285"/>
      <c r="AZ22" s="285"/>
      <c r="BA22" s="285"/>
      <c r="BB22" s="285"/>
      <c r="BC22" s="285"/>
      <c r="BD22" s="285"/>
      <c r="BE22" s="285"/>
      <c r="BF22" s="285"/>
      <c r="BG22" s="285"/>
      <c r="BH22" s="285"/>
      <c r="BI22" s="285"/>
      <c r="BJ22" s="285"/>
      <c r="BK22" s="285"/>
      <c r="BL22" s="285"/>
      <c r="BM22" s="285"/>
      <c r="BN22" s="285"/>
      <c r="BO22" s="285"/>
      <c r="BP22" s="285"/>
      <c r="BQ22" s="285"/>
      <c r="BR22" s="285"/>
      <c r="BS22" s="285"/>
      <c r="BT22" s="285"/>
      <c r="BU22" s="285"/>
      <c r="BV22" s="285"/>
      <c r="BW22" s="285"/>
    </row>
    <row r="23" spans="1:75" x14ac:dyDescent="0.25">
      <c r="Y23" s="285"/>
      <c r="Z23" s="285"/>
      <c r="AA23" s="285"/>
      <c r="AB23" s="285"/>
      <c r="AC23" s="285"/>
      <c r="AD23" s="285"/>
      <c r="AE23" s="285"/>
      <c r="AF23" s="285"/>
      <c r="AG23" s="285"/>
      <c r="AH23" s="285"/>
      <c r="AI23" s="285"/>
      <c r="AJ23" s="285"/>
      <c r="AK23" s="285"/>
      <c r="AL23" s="285"/>
      <c r="AM23" s="285"/>
      <c r="AN23" s="285"/>
      <c r="AO23" s="285"/>
      <c r="AP23" s="285"/>
      <c r="AQ23" s="285"/>
      <c r="AR23" s="285"/>
      <c r="AS23" s="285"/>
      <c r="AT23" s="285"/>
      <c r="AU23" s="285"/>
      <c r="AV23" s="285"/>
      <c r="AW23" s="285"/>
      <c r="AX23" s="285"/>
      <c r="AY23" s="285"/>
      <c r="AZ23" s="285"/>
      <c r="BA23" s="285"/>
      <c r="BB23" s="285"/>
      <c r="BC23" s="285"/>
      <c r="BD23" s="285"/>
      <c r="BE23" s="285"/>
      <c r="BF23" s="285"/>
      <c r="BG23" s="285"/>
      <c r="BH23" s="285"/>
      <c r="BI23" s="285"/>
      <c r="BJ23" s="285"/>
      <c r="BK23" s="285"/>
      <c r="BL23" s="285"/>
      <c r="BM23" s="285"/>
      <c r="BN23" s="285"/>
      <c r="BO23" s="285"/>
      <c r="BP23" s="285"/>
      <c r="BQ23" s="285"/>
      <c r="BR23" s="285"/>
      <c r="BS23" s="285"/>
      <c r="BT23" s="285"/>
      <c r="BU23" s="285"/>
      <c r="BV23" s="285"/>
      <c r="BW23" s="285"/>
    </row>
    <row r="24" spans="1:75" x14ac:dyDescent="0.25">
      <c r="Y24" s="285"/>
      <c r="Z24" s="285"/>
      <c r="AA24" s="285"/>
      <c r="AB24" s="285"/>
      <c r="AC24" s="285"/>
      <c r="AD24" s="285"/>
      <c r="AE24" s="285"/>
      <c r="AF24" s="285"/>
      <c r="AG24" s="285"/>
      <c r="AH24" s="285"/>
      <c r="AI24" s="285"/>
      <c r="AJ24" s="285"/>
      <c r="AK24" s="285"/>
      <c r="AL24" s="285"/>
      <c r="AM24" s="285"/>
      <c r="AN24" s="285"/>
      <c r="AO24" s="285"/>
      <c r="AP24" s="285"/>
      <c r="AQ24" s="285"/>
      <c r="AR24" s="285"/>
      <c r="AS24" s="285"/>
      <c r="AT24" s="285"/>
      <c r="AU24" s="285"/>
      <c r="AV24" s="285"/>
      <c r="AW24" s="285"/>
      <c r="AX24" s="285"/>
      <c r="AY24" s="285"/>
      <c r="AZ24" s="285"/>
      <c r="BA24" s="285"/>
      <c r="BB24" s="285"/>
      <c r="BC24" s="285"/>
      <c r="BD24" s="285"/>
      <c r="BE24" s="285"/>
      <c r="BF24" s="285"/>
      <c r="BG24" s="285"/>
      <c r="BH24" s="285"/>
      <c r="BI24" s="285"/>
      <c r="BJ24" s="285"/>
      <c r="BK24" s="285"/>
      <c r="BL24" s="285"/>
      <c r="BM24" s="285"/>
      <c r="BN24" s="285"/>
      <c r="BO24" s="285"/>
      <c r="BP24" s="285"/>
      <c r="BQ24" s="285"/>
      <c r="BR24" s="285"/>
      <c r="BS24" s="285"/>
      <c r="BT24" s="285"/>
      <c r="BU24" s="285"/>
      <c r="BV24" s="285"/>
      <c r="BW24" s="285"/>
    </row>
    <row r="25" spans="1:75" x14ac:dyDescent="0.25">
      <c r="Y25" s="285"/>
      <c r="Z25" s="285"/>
      <c r="AA25" s="285"/>
      <c r="AB25" s="285"/>
      <c r="AC25" s="285"/>
      <c r="AD25" s="285"/>
      <c r="AE25" s="285"/>
      <c r="AF25" s="285"/>
      <c r="AG25" s="285"/>
      <c r="AH25" s="285"/>
      <c r="AI25" s="285"/>
      <c r="AJ25" s="285"/>
      <c r="AK25" s="285"/>
      <c r="AL25" s="285"/>
      <c r="AM25" s="285"/>
      <c r="AN25" s="285"/>
      <c r="AO25" s="285"/>
      <c r="AP25" s="285"/>
      <c r="AQ25" s="285"/>
      <c r="AR25" s="285"/>
      <c r="AS25" s="285"/>
      <c r="AT25" s="285"/>
      <c r="AU25" s="285"/>
      <c r="AV25" s="285"/>
      <c r="AW25" s="285"/>
      <c r="AX25" s="285"/>
      <c r="AY25" s="285"/>
      <c r="AZ25" s="285"/>
      <c r="BA25" s="285"/>
      <c r="BB25" s="285"/>
      <c r="BC25" s="285"/>
      <c r="BD25" s="285"/>
      <c r="BE25" s="285"/>
      <c r="BF25" s="285"/>
      <c r="BG25" s="285"/>
      <c r="BH25" s="285"/>
      <c r="BI25" s="285"/>
      <c r="BJ25" s="285"/>
      <c r="BK25" s="285"/>
      <c r="BL25" s="285"/>
      <c r="BM25" s="285"/>
      <c r="BN25" s="285"/>
      <c r="BO25" s="285"/>
      <c r="BP25" s="285"/>
      <c r="BQ25" s="285"/>
      <c r="BR25" s="285"/>
      <c r="BS25" s="285"/>
      <c r="BT25" s="285"/>
      <c r="BU25" s="285"/>
      <c r="BV25" s="285"/>
      <c r="BW25" s="285"/>
    </row>
    <row r="26" spans="1:75" x14ac:dyDescent="0.25">
      <c r="Y26" s="285"/>
      <c r="Z26" s="285"/>
      <c r="AA26" s="285"/>
      <c r="AB26" s="285"/>
      <c r="AC26" s="285"/>
      <c r="AD26" s="285"/>
      <c r="AE26" s="285"/>
      <c r="AF26" s="285"/>
      <c r="AG26" s="285"/>
      <c r="AH26" s="285"/>
      <c r="AI26" s="285"/>
      <c r="AJ26" s="285"/>
      <c r="AK26" s="285"/>
      <c r="AL26" s="285"/>
      <c r="AM26" s="285"/>
      <c r="AN26" s="285"/>
      <c r="AO26" s="285"/>
      <c r="AP26" s="285"/>
      <c r="AQ26" s="285"/>
      <c r="AR26" s="285"/>
      <c r="AS26" s="285"/>
      <c r="AT26" s="285"/>
      <c r="AU26" s="285"/>
      <c r="AV26" s="285"/>
      <c r="AW26" s="285"/>
      <c r="AX26" s="285"/>
      <c r="AY26" s="285"/>
      <c r="AZ26" s="285"/>
      <c r="BA26" s="285"/>
      <c r="BB26" s="285"/>
      <c r="BC26" s="285"/>
      <c r="BD26" s="285"/>
      <c r="BE26" s="285"/>
      <c r="BF26" s="285"/>
      <c r="BG26" s="285"/>
      <c r="BH26" s="285"/>
      <c r="BI26" s="285"/>
      <c r="BJ26" s="285"/>
      <c r="BK26" s="285"/>
      <c r="BL26" s="285"/>
      <c r="BM26" s="285"/>
      <c r="BN26" s="285"/>
      <c r="BO26" s="285"/>
      <c r="BP26" s="285"/>
      <c r="BQ26" s="285"/>
      <c r="BR26" s="285"/>
      <c r="BS26" s="285"/>
      <c r="BT26" s="285"/>
      <c r="BU26" s="285"/>
      <c r="BV26" s="285"/>
      <c r="BW26" s="285"/>
    </row>
    <row r="27" spans="1:75" x14ac:dyDescent="0.25">
      <c r="Y27" s="285"/>
      <c r="Z27" s="285"/>
      <c r="AA27" s="285"/>
      <c r="AB27" s="285"/>
      <c r="AC27" s="285"/>
      <c r="AD27" s="285"/>
      <c r="AE27" s="285"/>
      <c r="AF27" s="285"/>
      <c r="AG27" s="285"/>
      <c r="AH27" s="285"/>
      <c r="AI27" s="285"/>
      <c r="AJ27" s="285"/>
      <c r="AK27" s="285"/>
      <c r="AL27" s="285"/>
      <c r="AM27" s="285"/>
      <c r="AN27" s="285"/>
      <c r="AO27" s="285"/>
      <c r="AP27" s="285"/>
      <c r="AQ27" s="285"/>
      <c r="AR27" s="285"/>
      <c r="AS27" s="285"/>
      <c r="AT27" s="285"/>
      <c r="AU27" s="285"/>
      <c r="AV27" s="285"/>
      <c r="AW27" s="285"/>
      <c r="AX27" s="285"/>
      <c r="AY27" s="285"/>
      <c r="AZ27" s="285"/>
      <c r="BA27" s="285"/>
      <c r="BB27" s="285"/>
      <c r="BC27" s="285"/>
      <c r="BD27" s="285"/>
      <c r="BE27" s="285"/>
      <c r="BF27" s="285"/>
      <c r="BG27" s="285"/>
      <c r="BH27" s="285"/>
      <c r="BI27" s="285"/>
      <c r="BJ27" s="285"/>
      <c r="BK27" s="285"/>
      <c r="BL27" s="285"/>
      <c r="BM27" s="285"/>
      <c r="BN27" s="285"/>
      <c r="BO27" s="285"/>
      <c r="BP27" s="285"/>
      <c r="BQ27" s="285"/>
      <c r="BR27" s="285"/>
      <c r="BS27" s="285"/>
      <c r="BT27" s="285"/>
      <c r="BU27" s="285"/>
      <c r="BV27" s="285"/>
      <c r="BW27" s="285"/>
    </row>
    <row r="28" spans="1:75" x14ac:dyDescent="0.25">
      <c r="Y28" s="285"/>
      <c r="Z28" s="285"/>
      <c r="AA28" s="285"/>
      <c r="AB28" s="285"/>
      <c r="AC28" s="285"/>
      <c r="AD28" s="285"/>
      <c r="AE28" s="285"/>
      <c r="AF28" s="285"/>
      <c r="AG28" s="285"/>
      <c r="AH28" s="285"/>
      <c r="AI28" s="285"/>
      <c r="AJ28" s="285"/>
      <c r="AK28" s="285"/>
      <c r="AL28" s="285"/>
      <c r="AM28" s="285"/>
      <c r="AN28" s="285"/>
      <c r="AO28" s="285"/>
      <c r="AP28" s="285"/>
      <c r="AQ28" s="285"/>
      <c r="AR28" s="285"/>
      <c r="AS28" s="285"/>
      <c r="AT28" s="285"/>
      <c r="AU28" s="285"/>
      <c r="AV28" s="285"/>
      <c r="AW28" s="285"/>
      <c r="AX28" s="285"/>
      <c r="AY28" s="285"/>
      <c r="AZ28" s="285"/>
      <c r="BA28" s="285"/>
      <c r="BB28" s="285"/>
      <c r="BC28" s="285"/>
      <c r="BD28" s="285"/>
      <c r="BE28" s="285"/>
      <c r="BF28" s="285"/>
      <c r="BG28" s="285"/>
      <c r="BH28" s="285"/>
      <c r="BI28" s="285"/>
      <c r="BJ28" s="285"/>
      <c r="BK28" s="285"/>
      <c r="BL28" s="285"/>
      <c r="BM28" s="285"/>
      <c r="BN28" s="285"/>
      <c r="BO28" s="285"/>
      <c r="BP28" s="285"/>
      <c r="BQ28" s="285"/>
      <c r="BR28" s="285"/>
      <c r="BS28" s="285"/>
      <c r="BT28" s="285"/>
      <c r="BU28" s="285"/>
      <c r="BV28" s="285"/>
      <c r="BW28" s="285"/>
    </row>
    <row r="29" spans="1:75" x14ac:dyDescent="0.25">
      <c r="Y29" s="285"/>
      <c r="Z29" s="285"/>
      <c r="AA29" s="285"/>
      <c r="AB29" s="285"/>
      <c r="AC29" s="285"/>
      <c r="AD29" s="285"/>
      <c r="AE29" s="285"/>
      <c r="AF29" s="285"/>
      <c r="AG29" s="285"/>
      <c r="AH29" s="285"/>
      <c r="AI29" s="285"/>
      <c r="AJ29" s="285"/>
      <c r="AK29" s="285"/>
      <c r="AL29" s="285"/>
      <c r="AM29" s="285"/>
      <c r="AN29" s="285"/>
      <c r="AO29" s="285"/>
      <c r="AP29" s="285"/>
      <c r="AQ29" s="285"/>
      <c r="AR29" s="285"/>
      <c r="AS29" s="285"/>
      <c r="AT29" s="285"/>
      <c r="AU29" s="285"/>
      <c r="AV29" s="285"/>
      <c r="AW29" s="285"/>
      <c r="AX29" s="285"/>
      <c r="AY29" s="285"/>
      <c r="AZ29" s="285"/>
      <c r="BA29" s="285"/>
      <c r="BB29" s="285"/>
      <c r="BC29" s="285"/>
      <c r="BD29" s="285"/>
      <c r="BE29" s="285"/>
      <c r="BF29" s="285"/>
      <c r="BG29" s="285"/>
      <c r="BH29" s="285"/>
      <c r="BI29" s="285"/>
      <c r="BJ29" s="285"/>
      <c r="BK29" s="285"/>
      <c r="BL29" s="285"/>
      <c r="BM29" s="285"/>
      <c r="BN29" s="285"/>
      <c r="BO29" s="285"/>
      <c r="BP29" s="285"/>
      <c r="BQ29" s="285"/>
      <c r="BR29" s="285"/>
      <c r="BS29" s="285"/>
      <c r="BT29" s="285"/>
      <c r="BU29" s="285"/>
      <c r="BV29" s="285"/>
      <c r="BW29" s="285"/>
    </row>
    <row r="30" spans="1:75" x14ac:dyDescent="0.25">
      <c r="Y30" s="285"/>
      <c r="Z30" s="285"/>
      <c r="AA30" s="285"/>
      <c r="AB30" s="285"/>
      <c r="AC30" s="285"/>
      <c r="AD30" s="285"/>
      <c r="AE30" s="285"/>
      <c r="AF30" s="285"/>
      <c r="AG30" s="285"/>
      <c r="AH30" s="285"/>
      <c r="AI30" s="285"/>
      <c r="AJ30" s="285"/>
      <c r="AK30" s="285"/>
      <c r="AL30" s="285"/>
      <c r="AM30" s="285"/>
      <c r="AN30" s="285"/>
      <c r="AO30" s="285"/>
      <c r="AP30" s="285"/>
      <c r="AQ30" s="285"/>
      <c r="AR30" s="285"/>
      <c r="AS30" s="285"/>
      <c r="AT30" s="285"/>
      <c r="AU30" s="285"/>
      <c r="AV30" s="285"/>
      <c r="AW30" s="285"/>
      <c r="AX30" s="285"/>
      <c r="AY30" s="285"/>
      <c r="AZ30" s="285"/>
      <c r="BA30" s="285"/>
      <c r="BB30" s="285"/>
      <c r="BC30" s="285"/>
      <c r="BD30" s="285"/>
      <c r="BE30" s="285"/>
      <c r="BF30" s="285"/>
      <c r="BG30" s="285"/>
      <c r="BH30" s="285"/>
      <c r="BI30" s="285"/>
      <c r="BJ30" s="285"/>
      <c r="BK30" s="285"/>
      <c r="BL30" s="285"/>
      <c r="BM30" s="285"/>
      <c r="BN30" s="285"/>
      <c r="BO30" s="285"/>
      <c r="BP30" s="285"/>
      <c r="BQ30" s="285"/>
      <c r="BR30" s="285"/>
      <c r="BS30" s="285"/>
      <c r="BT30" s="285"/>
      <c r="BU30" s="285"/>
      <c r="BV30" s="285"/>
      <c r="BW30" s="285"/>
    </row>
    <row r="31" spans="1:75" x14ac:dyDescent="0.25">
      <c r="Y31" s="285"/>
      <c r="Z31" s="285"/>
      <c r="AA31" s="285"/>
      <c r="AB31" s="285"/>
      <c r="AC31" s="285"/>
      <c r="AD31" s="285"/>
      <c r="AE31" s="285"/>
      <c r="AF31" s="285"/>
      <c r="AG31" s="285"/>
      <c r="AH31" s="285"/>
      <c r="AI31" s="285"/>
      <c r="AJ31" s="285"/>
      <c r="AK31" s="285"/>
      <c r="AL31" s="285"/>
      <c r="AM31" s="285"/>
      <c r="AN31" s="285"/>
      <c r="AO31" s="285"/>
      <c r="AP31" s="285"/>
      <c r="AQ31" s="285"/>
      <c r="AR31" s="285"/>
      <c r="AS31" s="285"/>
      <c r="AT31" s="285"/>
      <c r="AU31" s="285"/>
      <c r="AV31" s="285"/>
      <c r="AW31" s="285"/>
      <c r="AX31" s="285"/>
      <c r="AY31" s="285"/>
      <c r="AZ31" s="285"/>
      <c r="BA31" s="285"/>
      <c r="BB31" s="285"/>
      <c r="BC31" s="285"/>
      <c r="BD31" s="285"/>
      <c r="BE31" s="285"/>
      <c r="BF31" s="285"/>
      <c r="BG31" s="285"/>
      <c r="BH31" s="285"/>
      <c r="BI31" s="285"/>
      <c r="BJ31" s="285"/>
      <c r="BK31" s="285"/>
      <c r="BL31" s="285"/>
      <c r="BM31" s="285"/>
      <c r="BN31" s="285"/>
      <c r="BO31" s="285"/>
      <c r="BP31" s="285"/>
      <c r="BQ31" s="285"/>
      <c r="BR31" s="285"/>
      <c r="BS31" s="285"/>
      <c r="BT31" s="285"/>
      <c r="BU31" s="285"/>
      <c r="BV31" s="285"/>
      <c r="BW31" s="285"/>
    </row>
    <row r="32" spans="1:75" x14ac:dyDescent="0.25">
      <c r="Y32" s="285"/>
      <c r="Z32" s="285"/>
      <c r="AA32" s="285"/>
      <c r="AB32" s="285"/>
      <c r="AC32" s="285"/>
      <c r="AD32" s="285"/>
      <c r="AE32" s="285"/>
      <c r="AF32" s="285"/>
      <c r="AG32" s="285"/>
      <c r="AH32" s="285"/>
      <c r="AI32" s="285"/>
      <c r="AJ32" s="285"/>
      <c r="AK32" s="285"/>
      <c r="AL32" s="285"/>
      <c r="AM32" s="285"/>
      <c r="AN32" s="285"/>
      <c r="AO32" s="285"/>
      <c r="AP32" s="285"/>
      <c r="AQ32" s="285"/>
      <c r="AR32" s="285"/>
      <c r="AS32" s="285"/>
      <c r="AT32" s="285"/>
      <c r="AU32" s="285"/>
      <c r="AV32" s="285"/>
      <c r="AW32" s="285"/>
      <c r="AX32" s="285"/>
      <c r="AY32" s="285"/>
      <c r="AZ32" s="285"/>
      <c r="BA32" s="285"/>
      <c r="BB32" s="285"/>
      <c r="BC32" s="285"/>
      <c r="BD32" s="285"/>
      <c r="BE32" s="285"/>
      <c r="BF32" s="285"/>
      <c r="BG32" s="285"/>
      <c r="BH32" s="285"/>
      <c r="BI32" s="285"/>
      <c r="BJ32" s="285"/>
      <c r="BK32" s="285"/>
      <c r="BL32" s="285"/>
      <c r="BM32" s="285"/>
      <c r="BN32" s="285"/>
      <c r="BO32" s="285"/>
      <c r="BP32" s="285"/>
      <c r="BQ32" s="285"/>
      <c r="BR32" s="285"/>
      <c r="BS32" s="285"/>
      <c r="BT32" s="285"/>
      <c r="BU32" s="285"/>
      <c r="BV32" s="285"/>
      <c r="BW32" s="285"/>
    </row>
    <row r="33" spans="25:75" x14ac:dyDescent="0.25">
      <c r="Y33" s="285"/>
      <c r="Z33" s="285"/>
      <c r="AA33" s="285"/>
      <c r="AB33" s="285"/>
      <c r="AC33" s="285"/>
      <c r="AD33" s="285"/>
      <c r="AE33" s="285"/>
      <c r="AF33" s="285"/>
      <c r="AG33" s="285"/>
      <c r="AH33" s="285"/>
      <c r="AI33" s="285"/>
      <c r="AJ33" s="285"/>
      <c r="AK33" s="285"/>
      <c r="AL33" s="285"/>
      <c r="AM33" s="285"/>
      <c r="AN33" s="285"/>
      <c r="AO33" s="285"/>
      <c r="AP33" s="285"/>
      <c r="AQ33" s="285"/>
      <c r="AR33" s="285"/>
      <c r="AS33" s="285"/>
      <c r="AT33" s="285"/>
      <c r="AU33" s="285"/>
      <c r="AV33" s="285"/>
      <c r="AW33" s="285"/>
      <c r="AX33" s="285"/>
      <c r="AY33" s="285"/>
      <c r="AZ33" s="285"/>
      <c r="BA33" s="285"/>
      <c r="BB33" s="285"/>
      <c r="BC33" s="285"/>
      <c r="BD33" s="285"/>
      <c r="BE33" s="285"/>
      <c r="BF33" s="285"/>
      <c r="BG33" s="285"/>
      <c r="BH33" s="285"/>
      <c r="BI33" s="285"/>
      <c r="BJ33" s="285"/>
      <c r="BK33" s="285"/>
      <c r="BL33" s="285"/>
      <c r="BM33" s="285"/>
      <c r="BN33" s="285"/>
      <c r="BO33" s="285"/>
      <c r="BP33" s="285"/>
      <c r="BQ33" s="285"/>
      <c r="BR33" s="285"/>
      <c r="BS33" s="285"/>
      <c r="BT33" s="285"/>
      <c r="BU33" s="285"/>
      <c r="BV33" s="285"/>
      <c r="BW33" s="285"/>
    </row>
  </sheetData>
  <sheetProtection algorithmName="SHA-512" hashValue="OTWEtypsymPxMkWP8NkfAsQkUTC/41jA7/8v/he+U+CoXcXBq2mrSuZ0j0ggpi0wDjG9oUhvus1yWw4jAojmwg==" saltValue="HoSQJCKYr6X0QI4Ux04H4g==" spinCount="100000" sheet="1" objects="1" scenarios="1" selectLockedCells="1" selectUnlockedCells="1"/>
  <mergeCells count="36">
    <mergeCell ref="C1:X3"/>
    <mergeCell ref="A4:K4"/>
    <mergeCell ref="L4:P5"/>
    <mergeCell ref="Q4:U5"/>
    <mergeCell ref="V4:W5"/>
    <mergeCell ref="X4:X5"/>
    <mergeCell ref="Y4:AF4"/>
    <mergeCell ref="AG4:AN4"/>
    <mergeCell ref="AO4:AV4"/>
    <mergeCell ref="A5:C5"/>
    <mergeCell ref="E5:F5"/>
    <mergeCell ref="G5:I5"/>
    <mergeCell ref="J5:J6"/>
    <mergeCell ref="K5:K6"/>
    <mergeCell ref="Y5:AB5"/>
    <mergeCell ref="AC5:AF5"/>
    <mergeCell ref="AG5:AJ5"/>
    <mergeCell ref="AK5:AN5"/>
    <mergeCell ref="AO5:AR5"/>
    <mergeCell ref="AS5:AV5"/>
    <mergeCell ref="A7:A9"/>
    <mergeCell ref="B7:B9"/>
    <mergeCell ref="C7:C9"/>
    <mergeCell ref="D7:D9"/>
    <mergeCell ref="E7:E9"/>
    <mergeCell ref="F7:F9"/>
    <mergeCell ref="X7:X9"/>
    <mergeCell ref="Y10:Z10"/>
    <mergeCell ref="AG10:AH10"/>
    <mergeCell ref="AO10:AP10"/>
    <mergeCell ref="G7:G9"/>
    <mergeCell ref="H7:H9"/>
    <mergeCell ref="I7:I9"/>
    <mergeCell ref="J7:J9"/>
    <mergeCell ref="K7:K9"/>
    <mergeCell ref="W7:W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98AB4-C811-49C2-A21D-3FDFC8452C7F}">
  <sheetPr>
    <tabColor theme="7"/>
  </sheetPr>
  <dimension ref="A1:BP11"/>
  <sheetViews>
    <sheetView topLeftCell="Y1" zoomScaleNormal="100" workbookViewId="0">
      <selection activeCell="AF10" sqref="AF10"/>
    </sheetView>
  </sheetViews>
  <sheetFormatPr baseColWidth="10" defaultRowHeight="15" x14ac:dyDescent="0.25"/>
  <cols>
    <col min="2" max="2" width="14" customWidth="1"/>
    <col min="3" max="3" width="20.7109375" customWidth="1"/>
    <col min="4" max="4" width="19" customWidth="1"/>
    <col min="7" max="7" width="14.42578125" customWidth="1"/>
    <col min="10" max="10" width="14.42578125" customWidth="1"/>
    <col min="12" max="12" width="15.42578125" customWidth="1"/>
    <col min="13" max="13" width="27" customWidth="1"/>
    <col min="17" max="18" width="20.42578125" customWidth="1"/>
    <col min="22" max="22" width="15.7109375" customWidth="1"/>
    <col min="23" max="23" width="15.42578125" customWidth="1"/>
    <col min="24" max="24" width="21.5703125" customWidth="1"/>
    <col min="25" max="25" width="14.140625" customWidth="1"/>
    <col min="26" max="26" width="12.85546875" customWidth="1"/>
    <col min="28" max="28" width="21.42578125" customWidth="1"/>
    <col min="29" max="29" width="14.5703125" customWidth="1"/>
    <col min="32" max="32" width="60.85546875" customWidth="1"/>
    <col min="33" max="33" width="18" customWidth="1"/>
  </cols>
  <sheetData>
    <row r="1" spans="1:68" s="56" customFormat="1" ht="15.75" x14ac:dyDescent="0.25">
      <c r="C1" s="670" t="s">
        <v>0</v>
      </c>
      <c r="D1" s="670"/>
      <c r="E1" s="670"/>
      <c r="F1" s="670"/>
      <c r="G1" s="670"/>
      <c r="H1" s="670"/>
      <c r="I1" s="670"/>
      <c r="J1" s="670"/>
      <c r="K1" s="670"/>
      <c r="L1" s="670"/>
      <c r="M1" s="670"/>
      <c r="N1" s="670"/>
      <c r="O1" s="670"/>
      <c r="P1" s="670"/>
      <c r="Q1" s="670"/>
      <c r="R1" s="670"/>
      <c r="S1" s="670"/>
      <c r="T1" s="670"/>
      <c r="U1" s="670"/>
      <c r="V1" s="670"/>
      <c r="W1" s="670"/>
      <c r="X1" s="670"/>
      <c r="AE1" s="146" t="s">
        <v>1</v>
      </c>
      <c r="AF1" s="147">
        <v>43458</v>
      </c>
    </row>
    <row r="2" spans="1:68" s="56" customFormat="1" ht="30" customHeight="1" x14ac:dyDescent="0.25">
      <c r="C2" s="670"/>
      <c r="D2" s="670"/>
      <c r="E2" s="670"/>
      <c r="F2" s="670"/>
      <c r="G2" s="670"/>
      <c r="H2" s="670"/>
      <c r="I2" s="670"/>
      <c r="J2" s="670"/>
      <c r="K2" s="670"/>
      <c r="L2" s="670"/>
      <c r="M2" s="670"/>
      <c r="N2" s="670"/>
      <c r="O2" s="670"/>
      <c r="P2" s="670"/>
      <c r="Q2" s="670"/>
      <c r="R2" s="670"/>
      <c r="S2" s="670"/>
      <c r="T2" s="670"/>
      <c r="U2" s="670"/>
      <c r="V2" s="670"/>
      <c r="W2" s="670"/>
      <c r="X2" s="670"/>
      <c r="AE2" s="146" t="s">
        <v>2</v>
      </c>
      <c r="AF2" s="146">
        <v>5</v>
      </c>
    </row>
    <row r="3" spans="1:68" s="56" customFormat="1" ht="29.25" customHeight="1" x14ac:dyDescent="0.25">
      <c r="C3" s="670"/>
      <c r="D3" s="670"/>
      <c r="E3" s="670"/>
      <c r="F3" s="670"/>
      <c r="G3" s="670"/>
      <c r="H3" s="670"/>
      <c r="I3" s="670"/>
      <c r="J3" s="670"/>
      <c r="K3" s="670"/>
      <c r="L3" s="670"/>
      <c r="M3" s="670"/>
      <c r="N3" s="670"/>
      <c r="O3" s="670"/>
      <c r="P3" s="670"/>
      <c r="Q3" s="670"/>
      <c r="R3" s="670"/>
      <c r="S3" s="670"/>
      <c r="T3" s="670"/>
      <c r="U3" s="670"/>
      <c r="V3" s="670"/>
      <c r="W3" s="670"/>
      <c r="X3" s="670"/>
      <c r="AE3" s="245" t="s">
        <v>3</v>
      </c>
      <c r="AF3" s="245" t="s">
        <v>4</v>
      </c>
    </row>
    <row r="4" spans="1:68" s="7" customFormat="1" x14ac:dyDescent="0.25">
      <c r="A4" s="453" t="s">
        <v>5</v>
      </c>
      <c r="B4" s="454"/>
      <c r="C4" s="454"/>
      <c r="D4" s="454"/>
      <c r="E4" s="454"/>
      <c r="F4" s="454"/>
      <c r="G4" s="454"/>
      <c r="H4" s="454"/>
      <c r="I4" s="454"/>
      <c r="J4" s="454"/>
      <c r="K4" s="455"/>
      <c r="L4" s="456" t="s">
        <v>6</v>
      </c>
      <c r="M4" s="457"/>
      <c r="N4" s="457"/>
      <c r="O4" s="457"/>
      <c r="P4" s="458"/>
      <c r="Q4" s="456" t="s">
        <v>7</v>
      </c>
      <c r="R4" s="457"/>
      <c r="S4" s="457"/>
      <c r="T4" s="457"/>
      <c r="U4" s="458"/>
      <c r="V4" s="462" t="s">
        <v>8</v>
      </c>
      <c r="W4" s="463"/>
      <c r="X4" s="456" t="s">
        <v>9</v>
      </c>
      <c r="Y4" s="671" t="s">
        <v>533</v>
      </c>
      <c r="Z4" s="671"/>
      <c r="AA4" s="671"/>
      <c r="AB4" s="671"/>
      <c r="AC4" s="671"/>
      <c r="AD4" s="671"/>
      <c r="AE4" s="671"/>
      <c r="AF4" s="671"/>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row>
    <row r="5" spans="1:68" s="9" customFormat="1" x14ac:dyDescent="0.25">
      <c r="A5" s="468" t="s">
        <v>13</v>
      </c>
      <c r="B5" s="469"/>
      <c r="C5" s="470"/>
      <c r="D5" s="8" t="s">
        <v>14</v>
      </c>
      <c r="E5" s="468" t="s">
        <v>15</v>
      </c>
      <c r="F5" s="470"/>
      <c r="G5" s="468" t="s">
        <v>16</v>
      </c>
      <c r="H5" s="469"/>
      <c r="I5" s="470"/>
      <c r="J5" s="471" t="s">
        <v>17</v>
      </c>
      <c r="K5" s="471" t="s">
        <v>18</v>
      </c>
      <c r="L5" s="459"/>
      <c r="M5" s="460"/>
      <c r="N5" s="460"/>
      <c r="O5" s="460"/>
      <c r="P5" s="461"/>
      <c r="Q5" s="459"/>
      <c r="R5" s="460"/>
      <c r="S5" s="460"/>
      <c r="T5" s="460"/>
      <c r="U5" s="461"/>
      <c r="V5" s="464"/>
      <c r="W5" s="465"/>
      <c r="X5" s="459"/>
      <c r="Y5" s="671" t="s">
        <v>19</v>
      </c>
      <c r="Z5" s="671"/>
      <c r="AA5" s="671"/>
      <c r="AB5" s="671"/>
      <c r="AC5" s="671" t="s">
        <v>20</v>
      </c>
      <c r="AD5" s="671"/>
      <c r="AE5" s="671"/>
      <c r="AF5" s="671"/>
      <c r="AG5" s="148"/>
      <c r="AH5" s="148"/>
      <c r="AI5" s="148"/>
      <c r="AJ5" s="148"/>
      <c r="AK5" s="148"/>
      <c r="AL5" s="148"/>
      <c r="AM5" s="148"/>
      <c r="AN5" s="148"/>
      <c r="AO5" s="148"/>
      <c r="AP5" s="148"/>
      <c r="AQ5" s="148"/>
      <c r="AR5" s="148"/>
      <c r="AS5" s="148"/>
      <c r="AT5" s="148"/>
      <c r="AU5" s="148"/>
      <c r="AV5" s="148"/>
      <c r="AW5" s="148"/>
      <c r="AX5" s="148"/>
      <c r="AY5" s="148"/>
      <c r="AZ5" s="148"/>
      <c r="BA5" s="148"/>
      <c r="BB5" s="148"/>
      <c r="BC5" s="148"/>
      <c r="BD5" s="148"/>
      <c r="BE5" s="148"/>
      <c r="BF5" s="148"/>
      <c r="BG5" s="148"/>
      <c r="BH5" s="148"/>
      <c r="BI5" s="148"/>
      <c r="BJ5" s="148"/>
      <c r="BK5" s="148"/>
      <c r="BL5" s="148"/>
      <c r="BM5" s="148"/>
      <c r="BN5" s="148"/>
      <c r="BO5" s="148"/>
      <c r="BP5" s="148"/>
    </row>
    <row r="6" spans="1:68" s="7" customFormat="1" ht="30" x14ac:dyDescent="0.25">
      <c r="A6" s="10" t="s">
        <v>21</v>
      </c>
      <c r="B6" s="10" t="s">
        <v>22</v>
      </c>
      <c r="C6" s="10" t="s">
        <v>23</v>
      </c>
      <c r="D6" s="10" t="s">
        <v>24</v>
      </c>
      <c r="E6" s="10" t="s">
        <v>25</v>
      </c>
      <c r="F6" s="10" t="s">
        <v>26</v>
      </c>
      <c r="G6" s="10" t="s">
        <v>27</v>
      </c>
      <c r="H6" s="10" t="s">
        <v>28</v>
      </c>
      <c r="I6" s="10" t="s">
        <v>29</v>
      </c>
      <c r="J6" s="472"/>
      <c r="K6" s="472"/>
      <c r="L6" s="10" t="s">
        <v>6</v>
      </c>
      <c r="M6" s="10" t="s">
        <v>30</v>
      </c>
      <c r="N6" s="10" t="s">
        <v>31</v>
      </c>
      <c r="O6" s="10" t="s">
        <v>32</v>
      </c>
      <c r="P6" s="10" t="s">
        <v>33</v>
      </c>
      <c r="Q6" s="10" t="s">
        <v>7</v>
      </c>
      <c r="R6" s="10" t="s">
        <v>34</v>
      </c>
      <c r="S6" s="10" t="s">
        <v>31</v>
      </c>
      <c r="T6" s="10" t="s">
        <v>32</v>
      </c>
      <c r="U6" s="10" t="s">
        <v>35</v>
      </c>
      <c r="V6" s="149" t="s">
        <v>36</v>
      </c>
      <c r="W6" s="149" t="s">
        <v>37</v>
      </c>
      <c r="X6" s="246" t="s">
        <v>38</v>
      </c>
      <c r="Y6" s="209" t="s">
        <v>39</v>
      </c>
      <c r="Z6" s="209" t="s">
        <v>40</v>
      </c>
      <c r="AA6" s="209" t="s">
        <v>41</v>
      </c>
      <c r="AB6" s="209" t="s">
        <v>42</v>
      </c>
      <c r="AC6" s="209" t="s">
        <v>39</v>
      </c>
      <c r="AD6" s="209" t="s">
        <v>40</v>
      </c>
      <c r="AE6" s="209" t="s">
        <v>41</v>
      </c>
      <c r="AF6" s="209" t="s">
        <v>42</v>
      </c>
      <c r="AG6" s="148"/>
      <c r="AH6" s="148"/>
      <c r="AI6" s="148"/>
      <c r="AJ6" s="148"/>
      <c r="AK6" s="148"/>
      <c r="AL6" s="148"/>
      <c r="AM6" s="148"/>
      <c r="AN6" s="148"/>
      <c r="AO6" s="148"/>
      <c r="AP6" s="148"/>
      <c r="AQ6" s="148"/>
      <c r="AR6" s="148"/>
      <c r="AS6" s="148"/>
      <c r="AT6" s="148"/>
      <c r="AU6" s="148"/>
      <c r="AV6" s="148"/>
      <c r="AW6" s="148"/>
      <c r="AX6" s="148"/>
      <c r="AY6" s="148"/>
      <c r="AZ6" s="148"/>
      <c r="BA6" s="148"/>
      <c r="BB6" s="148"/>
      <c r="BC6" s="148"/>
      <c r="BD6" s="148"/>
      <c r="BE6" s="148"/>
      <c r="BF6" s="148"/>
      <c r="BG6" s="148"/>
      <c r="BH6" s="148"/>
      <c r="BI6" s="148"/>
      <c r="BJ6" s="148"/>
      <c r="BK6" s="148"/>
      <c r="BL6" s="148"/>
      <c r="BM6" s="148"/>
      <c r="BN6" s="148"/>
      <c r="BO6" s="148"/>
      <c r="BP6" s="148"/>
    </row>
    <row r="7" spans="1:68" ht="177" customHeight="1" x14ac:dyDescent="0.25">
      <c r="A7" s="507" t="s">
        <v>43</v>
      </c>
      <c r="B7" s="393" t="s">
        <v>44</v>
      </c>
      <c r="C7" s="507" t="s">
        <v>45</v>
      </c>
      <c r="D7" s="393" t="s">
        <v>46</v>
      </c>
      <c r="E7" s="507" t="s">
        <v>588</v>
      </c>
      <c r="F7" s="393" t="s">
        <v>588</v>
      </c>
      <c r="G7" s="507" t="s">
        <v>51</v>
      </c>
      <c r="H7" s="393" t="s">
        <v>589</v>
      </c>
      <c r="I7" s="507" t="s">
        <v>590</v>
      </c>
      <c r="J7" s="507" t="s">
        <v>588</v>
      </c>
      <c r="K7" s="393" t="s">
        <v>588</v>
      </c>
      <c r="L7" s="507" t="s">
        <v>591</v>
      </c>
      <c r="M7" s="393" t="s">
        <v>592</v>
      </c>
      <c r="N7" s="507" t="s">
        <v>74</v>
      </c>
      <c r="O7" s="478">
        <v>0</v>
      </c>
      <c r="P7" s="674">
        <v>0.8</v>
      </c>
      <c r="Q7" s="289" t="s">
        <v>593</v>
      </c>
      <c r="R7" s="289" t="s">
        <v>594</v>
      </c>
      <c r="S7" s="289" t="s">
        <v>74</v>
      </c>
      <c r="T7" s="289"/>
      <c r="U7" s="274">
        <v>0.8</v>
      </c>
      <c r="V7" s="672">
        <v>663482003</v>
      </c>
      <c r="W7" s="672">
        <v>663482003</v>
      </c>
      <c r="X7" s="507" t="s">
        <v>595</v>
      </c>
      <c r="Y7" s="676">
        <v>90.4</v>
      </c>
      <c r="Z7" s="507">
        <v>80</v>
      </c>
      <c r="AA7" s="478">
        <f>Y7/Z7</f>
        <v>1.1300000000000001</v>
      </c>
      <c r="AB7" s="507" t="s">
        <v>596</v>
      </c>
      <c r="AC7" s="289">
        <v>88.33</v>
      </c>
      <c r="AD7" s="289">
        <v>80</v>
      </c>
      <c r="AE7" s="274">
        <f>AC7/AD7</f>
        <v>1.104125</v>
      </c>
      <c r="AF7" s="289" t="s">
        <v>597</v>
      </c>
    </row>
    <row r="8" spans="1:68" ht="227.25" customHeight="1" x14ac:dyDescent="0.25">
      <c r="A8" s="508"/>
      <c r="B8" s="394"/>
      <c r="C8" s="508"/>
      <c r="D8" s="394"/>
      <c r="E8" s="508"/>
      <c r="F8" s="394"/>
      <c r="G8" s="508"/>
      <c r="H8" s="394"/>
      <c r="I8" s="508"/>
      <c r="J8" s="508"/>
      <c r="K8" s="394"/>
      <c r="L8" s="508"/>
      <c r="M8" s="394"/>
      <c r="N8" s="508"/>
      <c r="O8" s="479"/>
      <c r="P8" s="675"/>
      <c r="Q8" s="275" t="s">
        <v>598</v>
      </c>
      <c r="R8" s="275" t="s">
        <v>599</v>
      </c>
      <c r="S8" s="275" t="s">
        <v>74</v>
      </c>
      <c r="T8" s="275"/>
      <c r="U8" s="275">
        <v>0.8</v>
      </c>
      <c r="V8" s="673"/>
      <c r="W8" s="673"/>
      <c r="X8" s="508"/>
      <c r="Y8" s="677"/>
      <c r="Z8" s="508"/>
      <c r="AA8" s="479"/>
      <c r="AB8" s="508"/>
      <c r="AC8" s="308">
        <v>91.5</v>
      </c>
      <c r="AD8" s="309">
        <v>80</v>
      </c>
      <c r="AE8" s="275">
        <f>AC8/AD8</f>
        <v>1.14375</v>
      </c>
      <c r="AF8" s="275" t="s">
        <v>600</v>
      </c>
    </row>
    <row r="11" spans="1:68" ht="49.5" customHeight="1" x14ac:dyDescent="0.25">
      <c r="Y11" s="388" t="s">
        <v>865</v>
      </c>
      <c r="Z11" s="388"/>
      <c r="AA11" s="58">
        <f>+AVERAGE(AA7:AA8)</f>
        <v>1.1300000000000001</v>
      </c>
      <c r="AC11" s="388" t="s">
        <v>866</v>
      </c>
      <c r="AD11" s="388"/>
      <c r="AE11" s="58">
        <f>+AVERAGE(AE7:AE8)</f>
        <v>1.1239375</v>
      </c>
    </row>
  </sheetData>
  <sheetProtection algorithmName="SHA-512" hashValue="pyPI5EHBoFjtc7oziNF+LUsIVkOqYp5Q0uBNr5zNFq9DYq9o2nwFxM/1DkERS/cH5ztMPff1myTNeaM+jxMrAg==" saltValue="FSsfHiLUdX//xOq4v6FNUw==" spinCount="100000" sheet="1" objects="1" scenarios="1" selectLockedCells="1" selectUnlockedCells="1"/>
  <mergeCells count="39">
    <mergeCell ref="AC11:AD11"/>
    <mergeCell ref="Y11:Z11"/>
    <mergeCell ref="X7:X8"/>
    <mergeCell ref="Y7:Y8"/>
    <mergeCell ref="Z7:Z8"/>
    <mergeCell ref="AA7:AA8"/>
    <mergeCell ref="AB7:AB8"/>
    <mergeCell ref="M7:M8"/>
    <mergeCell ref="N7:N8"/>
    <mergeCell ref="O7:O8"/>
    <mergeCell ref="P7:P8"/>
    <mergeCell ref="V7:V8"/>
    <mergeCell ref="H7:H8"/>
    <mergeCell ref="I7:I8"/>
    <mergeCell ref="J7:J8"/>
    <mergeCell ref="K7:K8"/>
    <mergeCell ref="L7:L8"/>
    <mergeCell ref="F7:F8"/>
    <mergeCell ref="Y4:AF4"/>
    <mergeCell ref="A5:C5"/>
    <mergeCell ref="E5:F5"/>
    <mergeCell ref="G5:I5"/>
    <mergeCell ref="J5:J6"/>
    <mergeCell ref="K5:K6"/>
    <mergeCell ref="Y5:AB5"/>
    <mergeCell ref="AC5:AF5"/>
    <mergeCell ref="A7:A8"/>
    <mergeCell ref="B7:B8"/>
    <mergeCell ref="C7:C8"/>
    <mergeCell ref="D7:D8"/>
    <mergeCell ref="E7:E8"/>
    <mergeCell ref="W7:W8"/>
    <mergeCell ref="G7:G8"/>
    <mergeCell ref="C1:X3"/>
    <mergeCell ref="A4:K4"/>
    <mergeCell ref="L4:P5"/>
    <mergeCell ref="Q4:U5"/>
    <mergeCell ref="V4:W5"/>
    <mergeCell ref="X4:X5"/>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CC2EB-20F7-4D65-BECA-2DCA7BF6DBE1}">
  <sheetPr>
    <tabColor theme="9"/>
  </sheetPr>
  <dimension ref="A1:AAF556"/>
  <sheetViews>
    <sheetView zoomScale="106" zoomScaleNormal="106" workbookViewId="0">
      <pane ySplit="6" topLeftCell="A7" activePane="bottomLeft" state="frozen"/>
      <selection activeCell="U1" sqref="U1"/>
      <selection pane="bottomLeft" sqref="A1:AV15"/>
    </sheetView>
  </sheetViews>
  <sheetFormatPr baseColWidth="10" defaultColWidth="11.42578125" defaultRowHeight="22.5" customHeight="1" x14ac:dyDescent="0.25"/>
  <cols>
    <col min="1" max="1" width="22.42578125" style="94" customWidth="1"/>
    <col min="2" max="2" width="26.7109375" style="94" customWidth="1"/>
    <col min="3" max="3" width="23.85546875" style="94" customWidth="1"/>
    <col min="4" max="4" width="33.42578125" style="94" customWidth="1"/>
    <col min="5" max="5" width="43.42578125" style="94" bestFit="1" customWidth="1"/>
    <col min="6" max="6" width="17.140625" style="94" customWidth="1"/>
    <col min="7" max="7" width="26.7109375" style="94" customWidth="1"/>
    <col min="8" max="8" width="16.7109375" style="94" customWidth="1"/>
    <col min="9" max="9" width="17.28515625" style="94" customWidth="1"/>
    <col min="10" max="10" width="16.85546875" style="94" customWidth="1"/>
    <col min="11" max="11" width="15.85546875" style="94" customWidth="1"/>
    <col min="12" max="12" width="56.42578125" style="94" customWidth="1"/>
    <col min="13" max="13" width="35.42578125" style="94" customWidth="1"/>
    <col min="14" max="14" width="20.42578125" style="94" customWidth="1"/>
    <col min="15" max="15" width="14.140625" style="94" customWidth="1"/>
    <col min="16" max="16" width="21" style="94" customWidth="1"/>
    <col min="17" max="18" width="31.7109375" style="94" customWidth="1"/>
    <col min="19" max="19" width="17.140625" style="94" bestFit="1" customWidth="1"/>
    <col min="20" max="20" width="10.28515625" style="94" bestFit="1" customWidth="1"/>
    <col min="21" max="21" width="14.42578125" style="94" bestFit="1" customWidth="1"/>
    <col min="22" max="22" width="17" style="145" customWidth="1"/>
    <col min="23" max="23" width="18.42578125" style="145" customWidth="1"/>
    <col min="24" max="24" width="20.7109375" style="94" customWidth="1"/>
    <col min="25" max="25" width="17.5703125" style="94" customWidth="1"/>
    <col min="26" max="26" width="10.42578125" style="94" customWidth="1"/>
    <col min="27" max="27" width="19.140625" style="94" customWidth="1"/>
    <col min="28" max="28" width="43.42578125" style="94" customWidth="1"/>
    <col min="29" max="29" width="14.85546875" style="94" customWidth="1"/>
    <col min="30" max="30" width="10.42578125" style="94" customWidth="1"/>
    <col min="31" max="31" width="21.85546875" style="94" customWidth="1"/>
    <col min="32" max="32" width="17.28515625" style="94" bestFit="1" customWidth="1"/>
    <col min="33" max="33" width="15.5703125" style="94" customWidth="1"/>
    <col min="34" max="34" width="10.42578125" style="94" customWidth="1"/>
    <col min="35" max="35" width="19" style="94" customWidth="1"/>
    <col min="36" max="36" width="39.140625" style="94" customWidth="1"/>
    <col min="37" max="37" width="14.85546875" style="94" customWidth="1"/>
    <col min="38" max="38" width="10.42578125" style="94" customWidth="1"/>
    <col min="39" max="39" width="21.85546875" style="94" customWidth="1"/>
    <col min="40" max="40" width="17.28515625" style="94" bestFit="1" customWidth="1"/>
    <col min="41" max="41" width="16.42578125" style="94" customWidth="1"/>
    <col min="42" max="42" width="10.42578125" style="94" customWidth="1"/>
    <col min="43" max="43" width="19.42578125" style="94" customWidth="1"/>
    <col min="44" max="44" width="43.5703125" style="94" customWidth="1"/>
    <col min="45" max="45" width="14.85546875" style="94" customWidth="1"/>
    <col min="46" max="46" width="10.42578125" style="94" customWidth="1"/>
    <col min="47" max="47" width="21.85546875" style="94" customWidth="1"/>
    <col min="48" max="48" width="17.28515625" style="94" bestFit="1" customWidth="1"/>
    <col min="49" max="708" width="11.42578125" style="21"/>
    <col min="709" max="16384" width="11.42578125" style="94"/>
  </cols>
  <sheetData>
    <row r="1" spans="1:708" s="1" customFormat="1" ht="15.75" customHeight="1" x14ac:dyDescent="0.25">
      <c r="C1" s="413" t="s">
        <v>0</v>
      </c>
      <c r="D1" s="413"/>
      <c r="E1" s="413"/>
      <c r="F1" s="413"/>
      <c r="G1" s="413"/>
      <c r="H1" s="413"/>
      <c r="I1" s="413"/>
      <c r="J1" s="413"/>
      <c r="K1" s="413"/>
      <c r="L1" s="413"/>
      <c r="M1" s="413"/>
      <c r="N1" s="413"/>
      <c r="O1" s="413"/>
      <c r="P1" s="413"/>
      <c r="Q1" s="413"/>
      <c r="R1" s="413"/>
      <c r="S1" s="413"/>
      <c r="T1" s="413"/>
      <c r="U1" s="413"/>
      <c r="V1" s="413"/>
      <c r="W1" s="413"/>
      <c r="X1" s="413"/>
      <c r="AU1" s="4" t="s">
        <v>1</v>
      </c>
      <c r="AV1" s="5">
        <v>43458</v>
      </c>
    </row>
    <row r="2" spans="1:708" s="1" customFormat="1" ht="30" customHeight="1" x14ac:dyDescent="0.25">
      <c r="C2" s="413"/>
      <c r="D2" s="413"/>
      <c r="E2" s="413"/>
      <c r="F2" s="413"/>
      <c r="G2" s="413"/>
      <c r="H2" s="413"/>
      <c r="I2" s="413"/>
      <c r="J2" s="413"/>
      <c r="K2" s="413"/>
      <c r="L2" s="413"/>
      <c r="M2" s="413"/>
      <c r="N2" s="413"/>
      <c r="O2" s="413"/>
      <c r="P2" s="413"/>
      <c r="Q2" s="413"/>
      <c r="R2" s="413"/>
      <c r="S2" s="413"/>
      <c r="T2" s="413"/>
      <c r="U2" s="413"/>
      <c r="V2" s="413"/>
      <c r="W2" s="413"/>
      <c r="X2" s="413"/>
      <c r="AU2" s="4" t="s">
        <v>2</v>
      </c>
      <c r="AV2" s="4">
        <v>5</v>
      </c>
    </row>
    <row r="3" spans="1:708" s="1" customFormat="1" ht="29.25" customHeight="1" x14ac:dyDescent="0.25">
      <c r="C3" s="413"/>
      <c r="D3" s="413"/>
      <c r="E3" s="413"/>
      <c r="F3" s="413"/>
      <c r="G3" s="413"/>
      <c r="H3" s="413"/>
      <c r="I3" s="413"/>
      <c r="J3" s="413"/>
      <c r="K3" s="413"/>
      <c r="L3" s="413"/>
      <c r="M3" s="413"/>
      <c r="N3" s="413"/>
      <c r="O3" s="413"/>
      <c r="P3" s="413"/>
      <c r="Q3" s="413"/>
      <c r="R3" s="413"/>
      <c r="S3" s="413"/>
      <c r="T3" s="413"/>
      <c r="U3" s="413"/>
      <c r="V3" s="413"/>
      <c r="W3" s="413"/>
      <c r="X3" s="413"/>
      <c r="AU3" s="4" t="s">
        <v>3</v>
      </c>
      <c r="AV3" s="4" t="s">
        <v>4</v>
      </c>
    </row>
    <row r="4" spans="1:708" s="7" customFormat="1" ht="15" x14ac:dyDescent="0.25">
      <c r="A4" s="453" t="s">
        <v>5</v>
      </c>
      <c r="B4" s="454"/>
      <c r="C4" s="454"/>
      <c r="D4" s="454"/>
      <c r="E4" s="454"/>
      <c r="F4" s="454"/>
      <c r="G4" s="454"/>
      <c r="H4" s="454"/>
      <c r="I4" s="454"/>
      <c r="J4" s="454"/>
      <c r="K4" s="455"/>
      <c r="L4" s="456" t="s">
        <v>6</v>
      </c>
      <c r="M4" s="457"/>
      <c r="N4" s="457"/>
      <c r="O4" s="457"/>
      <c r="P4" s="458"/>
      <c r="Q4" s="456" t="s">
        <v>7</v>
      </c>
      <c r="R4" s="457"/>
      <c r="S4" s="457"/>
      <c r="T4" s="457"/>
      <c r="U4" s="458"/>
      <c r="V4" s="498" t="s">
        <v>8</v>
      </c>
      <c r="W4" s="499"/>
      <c r="X4" s="466" t="s">
        <v>9</v>
      </c>
      <c r="Y4" s="459" t="s">
        <v>10</v>
      </c>
      <c r="Z4" s="460"/>
      <c r="AA4" s="460"/>
      <c r="AB4" s="460"/>
      <c r="AC4" s="460"/>
      <c r="AD4" s="460"/>
      <c r="AE4" s="460"/>
      <c r="AF4" s="461"/>
      <c r="AG4" s="459" t="s">
        <v>11</v>
      </c>
      <c r="AH4" s="460"/>
      <c r="AI4" s="460"/>
      <c r="AJ4" s="460"/>
      <c r="AK4" s="460"/>
      <c r="AL4" s="460"/>
      <c r="AM4" s="460"/>
      <c r="AN4" s="461"/>
      <c r="AO4" s="459" t="s">
        <v>12</v>
      </c>
      <c r="AP4" s="460"/>
      <c r="AQ4" s="460"/>
      <c r="AR4" s="460"/>
      <c r="AS4" s="460"/>
      <c r="AT4" s="460"/>
      <c r="AU4" s="460"/>
      <c r="AV4" s="461"/>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row>
    <row r="5" spans="1:708" s="367" customFormat="1" ht="15" x14ac:dyDescent="0.25">
      <c r="A5" s="468" t="s">
        <v>13</v>
      </c>
      <c r="B5" s="469"/>
      <c r="C5" s="470"/>
      <c r="D5" s="365" t="s">
        <v>14</v>
      </c>
      <c r="E5" s="468" t="s">
        <v>15</v>
      </c>
      <c r="F5" s="470"/>
      <c r="G5" s="468" t="s">
        <v>16</v>
      </c>
      <c r="H5" s="469"/>
      <c r="I5" s="470"/>
      <c r="J5" s="471" t="s">
        <v>17</v>
      </c>
      <c r="K5" s="471" t="s">
        <v>18</v>
      </c>
      <c r="L5" s="459"/>
      <c r="M5" s="460"/>
      <c r="N5" s="460"/>
      <c r="O5" s="460"/>
      <c r="P5" s="461"/>
      <c r="Q5" s="459"/>
      <c r="R5" s="460"/>
      <c r="S5" s="460"/>
      <c r="T5" s="460"/>
      <c r="U5" s="461"/>
      <c r="V5" s="500"/>
      <c r="W5" s="501"/>
      <c r="X5" s="467"/>
      <c r="Y5" s="468" t="s">
        <v>19</v>
      </c>
      <c r="Z5" s="469"/>
      <c r="AA5" s="469"/>
      <c r="AB5" s="473"/>
      <c r="AC5" s="474" t="s">
        <v>20</v>
      </c>
      <c r="AD5" s="469"/>
      <c r="AE5" s="469"/>
      <c r="AF5" s="470"/>
      <c r="AG5" s="468" t="s">
        <v>19</v>
      </c>
      <c r="AH5" s="469"/>
      <c r="AI5" s="469"/>
      <c r="AJ5" s="473"/>
      <c r="AK5" s="474" t="s">
        <v>20</v>
      </c>
      <c r="AL5" s="469"/>
      <c r="AM5" s="469"/>
      <c r="AN5" s="470"/>
      <c r="AO5" s="468" t="s">
        <v>19</v>
      </c>
      <c r="AP5" s="469"/>
      <c r="AQ5" s="469"/>
      <c r="AR5" s="473"/>
      <c r="AS5" s="474" t="s">
        <v>20</v>
      </c>
      <c r="AT5" s="469"/>
      <c r="AU5" s="469"/>
      <c r="AV5" s="470"/>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row>
    <row r="6" spans="1:708" s="7" customFormat="1" ht="15" x14ac:dyDescent="0.25">
      <c r="A6" s="10" t="s">
        <v>21</v>
      </c>
      <c r="B6" s="10" t="s">
        <v>22</v>
      </c>
      <c r="C6" s="366" t="s">
        <v>23</v>
      </c>
      <c r="D6" s="366" t="s">
        <v>24</v>
      </c>
      <c r="E6" s="366" t="s">
        <v>25</v>
      </c>
      <c r="F6" s="366" t="s">
        <v>26</v>
      </c>
      <c r="G6" s="366" t="s">
        <v>27</v>
      </c>
      <c r="H6" s="366" t="s">
        <v>28</v>
      </c>
      <c r="I6" s="366" t="s">
        <v>29</v>
      </c>
      <c r="J6" s="502"/>
      <c r="K6" s="502"/>
      <c r="L6" s="366" t="s">
        <v>6</v>
      </c>
      <c r="M6" s="366" t="s">
        <v>30</v>
      </c>
      <c r="N6" s="366" t="s">
        <v>31</v>
      </c>
      <c r="O6" s="366" t="s">
        <v>32</v>
      </c>
      <c r="P6" s="366" t="s">
        <v>33</v>
      </c>
      <c r="Q6" s="366" t="s">
        <v>7</v>
      </c>
      <c r="R6" s="366" t="s">
        <v>34</v>
      </c>
      <c r="S6" s="366" t="s">
        <v>31</v>
      </c>
      <c r="T6" s="366" t="s">
        <v>32</v>
      </c>
      <c r="U6" s="366" t="s">
        <v>35</v>
      </c>
      <c r="V6" s="13" t="s">
        <v>36</v>
      </c>
      <c r="W6" s="13" t="s">
        <v>37</v>
      </c>
      <c r="X6" s="366" t="s">
        <v>38</v>
      </c>
      <c r="Y6" s="366" t="s">
        <v>39</v>
      </c>
      <c r="Z6" s="366" t="s">
        <v>40</v>
      </c>
      <c r="AA6" s="366" t="s">
        <v>41</v>
      </c>
      <c r="AB6" s="366" t="s">
        <v>42</v>
      </c>
      <c r="AC6" s="366" t="s">
        <v>39</v>
      </c>
      <c r="AD6" s="366" t="s">
        <v>40</v>
      </c>
      <c r="AE6" s="366" t="s">
        <v>41</v>
      </c>
      <c r="AF6" s="366" t="s">
        <v>42</v>
      </c>
      <c r="AG6" s="366" t="s">
        <v>39</v>
      </c>
      <c r="AH6" s="366" t="s">
        <v>40</v>
      </c>
      <c r="AI6" s="366" t="s">
        <v>41</v>
      </c>
      <c r="AJ6" s="366" t="s">
        <v>42</v>
      </c>
      <c r="AK6" s="366" t="s">
        <v>39</v>
      </c>
      <c r="AL6" s="366" t="s">
        <v>40</v>
      </c>
      <c r="AM6" s="366" t="s">
        <v>41</v>
      </c>
      <c r="AN6" s="366" t="s">
        <v>42</v>
      </c>
      <c r="AO6" s="366" t="s">
        <v>39</v>
      </c>
      <c r="AP6" s="366" t="s">
        <v>40</v>
      </c>
      <c r="AQ6" s="366" t="s">
        <v>41</v>
      </c>
      <c r="AR6" s="366" t="s">
        <v>42</v>
      </c>
      <c r="AS6" s="366" t="s">
        <v>39</v>
      </c>
      <c r="AT6" s="366" t="s">
        <v>40</v>
      </c>
      <c r="AU6" s="366" t="s">
        <v>41</v>
      </c>
      <c r="AV6" s="366" t="s">
        <v>42</v>
      </c>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row>
    <row r="7" spans="1:708" ht="70.5" customHeight="1" x14ac:dyDescent="0.25">
      <c r="A7" s="364" t="s">
        <v>43</v>
      </c>
      <c r="B7" s="364" t="s">
        <v>44</v>
      </c>
      <c r="C7" s="364" t="s">
        <v>45</v>
      </c>
      <c r="D7" s="364" t="s">
        <v>46</v>
      </c>
      <c r="E7" s="364" t="s">
        <v>47</v>
      </c>
      <c r="F7" s="364" t="s">
        <v>504</v>
      </c>
      <c r="G7" s="364" t="s">
        <v>49</v>
      </c>
      <c r="H7" s="364" t="s">
        <v>50</v>
      </c>
      <c r="I7" s="364" t="s">
        <v>51</v>
      </c>
      <c r="J7" s="364" t="s">
        <v>52</v>
      </c>
      <c r="K7" s="364" t="s">
        <v>891</v>
      </c>
      <c r="L7" s="364" t="s">
        <v>892</v>
      </c>
      <c r="M7" s="364" t="s">
        <v>893</v>
      </c>
      <c r="N7" s="364" t="s">
        <v>74</v>
      </c>
      <c r="O7" s="364"/>
      <c r="P7" s="678">
        <v>0.75</v>
      </c>
      <c r="Q7" s="679"/>
      <c r="R7" s="679"/>
      <c r="S7" s="679"/>
      <c r="T7" s="679"/>
      <c r="U7" s="679"/>
      <c r="V7" s="364">
        <v>1370580862</v>
      </c>
      <c r="W7" s="364">
        <v>64326892613</v>
      </c>
      <c r="X7" s="364" t="s">
        <v>894</v>
      </c>
      <c r="Y7" s="678">
        <v>1</v>
      </c>
      <c r="Z7" s="678">
        <v>0.75</v>
      </c>
      <c r="AA7" s="678">
        <f>+Y7/'[13]PAI REGALÍAS'!P7</f>
        <v>1.3333333333333333</v>
      </c>
      <c r="AB7" s="107" t="s">
        <v>895</v>
      </c>
      <c r="AC7" s="680"/>
      <c r="AD7" s="680"/>
      <c r="AE7" s="680"/>
      <c r="AF7" s="680"/>
      <c r="AG7" s="678">
        <v>1</v>
      </c>
      <c r="AH7" s="678">
        <v>0.75</v>
      </c>
      <c r="AI7" s="678">
        <f>+AG7/'[14]PAI REGALÍAS'!P7</f>
        <v>1.3333333333333333</v>
      </c>
      <c r="AJ7" s="107" t="s">
        <v>896</v>
      </c>
      <c r="AK7" s="680"/>
      <c r="AL7" s="680"/>
      <c r="AM7" s="680"/>
      <c r="AN7" s="680"/>
      <c r="AO7" s="678">
        <v>1</v>
      </c>
      <c r="AP7" s="678">
        <v>0.75</v>
      </c>
      <c r="AQ7" s="678">
        <f>+AO7/P7</f>
        <v>1.3333333333333333</v>
      </c>
      <c r="AR7" s="107" t="s">
        <v>897</v>
      </c>
      <c r="AS7" s="680"/>
      <c r="AT7" s="680"/>
      <c r="AU7" s="680"/>
      <c r="AV7" s="680"/>
    </row>
    <row r="8" spans="1:708" ht="70.5" customHeight="1" x14ac:dyDescent="0.25">
      <c r="A8" s="96" t="s">
        <v>43</v>
      </c>
      <c r="B8" s="96" t="s">
        <v>44</v>
      </c>
      <c r="C8" s="96" t="s">
        <v>45</v>
      </c>
      <c r="D8" s="96" t="s">
        <v>46</v>
      </c>
      <c r="E8" s="96" t="s">
        <v>47</v>
      </c>
      <c r="F8" s="96" t="s">
        <v>504</v>
      </c>
      <c r="G8" s="96" t="s">
        <v>49</v>
      </c>
      <c r="H8" s="96" t="s">
        <v>50</v>
      </c>
      <c r="I8" s="96" t="s">
        <v>78</v>
      </c>
      <c r="J8" s="96" t="s">
        <v>52</v>
      </c>
      <c r="K8" s="96" t="s">
        <v>891</v>
      </c>
      <c r="L8" s="96" t="s">
        <v>898</v>
      </c>
      <c r="M8" s="96" t="s">
        <v>899</v>
      </c>
      <c r="N8" s="96" t="s">
        <v>56</v>
      </c>
      <c r="O8" s="96"/>
      <c r="P8" s="681">
        <v>95</v>
      </c>
      <c r="Q8" s="679"/>
      <c r="R8" s="679"/>
      <c r="S8" s="679"/>
      <c r="T8" s="679"/>
      <c r="U8" s="679"/>
      <c r="V8" s="96">
        <v>327272233</v>
      </c>
      <c r="W8" s="96">
        <v>64326892613</v>
      </c>
      <c r="X8" s="96" t="s">
        <v>894</v>
      </c>
      <c r="Y8" s="115">
        <v>0</v>
      </c>
      <c r="Z8" s="115">
        <v>0.95</v>
      </c>
      <c r="AA8" s="115">
        <f>+Y8/'[13]PAI REGALÍAS'!P8</f>
        <v>0</v>
      </c>
      <c r="AB8" s="116" t="s">
        <v>900</v>
      </c>
      <c r="AC8" s="682"/>
      <c r="AD8" s="682"/>
      <c r="AE8" s="682"/>
      <c r="AF8" s="683"/>
      <c r="AG8" s="681">
        <v>0</v>
      </c>
      <c r="AH8" s="681">
        <v>95</v>
      </c>
      <c r="AI8" s="115">
        <f>+AG8/'[14]PAI REGALÍAS'!P8</f>
        <v>0</v>
      </c>
      <c r="AJ8" s="116" t="s">
        <v>901</v>
      </c>
      <c r="AK8" s="682"/>
      <c r="AL8" s="682"/>
      <c r="AM8" s="682"/>
      <c r="AN8" s="683"/>
      <c r="AO8" s="681">
        <v>1</v>
      </c>
      <c r="AP8" s="681">
        <v>95</v>
      </c>
      <c r="AQ8" s="115">
        <f>+AO8/P8</f>
        <v>1.0526315789473684E-2</v>
      </c>
      <c r="AR8" s="116" t="s">
        <v>902</v>
      </c>
      <c r="AS8" s="682"/>
      <c r="AT8" s="682"/>
      <c r="AU8" s="682"/>
      <c r="AV8" s="683"/>
    </row>
    <row r="9" spans="1:708" ht="70.5" customHeight="1" x14ac:dyDescent="0.25">
      <c r="A9" s="364" t="s">
        <v>43</v>
      </c>
      <c r="B9" s="364" t="s">
        <v>44</v>
      </c>
      <c r="C9" s="364" t="s">
        <v>45</v>
      </c>
      <c r="D9" s="364" t="s">
        <v>349</v>
      </c>
      <c r="E9" s="364" t="s">
        <v>71</v>
      </c>
      <c r="F9" s="364" t="s">
        <v>48</v>
      </c>
      <c r="G9" s="364" t="s">
        <v>49</v>
      </c>
      <c r="H9" s="364" t="s">
        <v>50</v>
      </c>
      <c r="I9" s="364" t="s">
        <v>78</v>
      </c>
      <c r="J9" s="364" t="s">
        <v>52</v>
      </c>
      <c r="K9" s="364" t="s">
        <v>891</v>
      </c>
      <c r="L9" s="364" t="s">
        <v>903</v>
      </c>
      <c r="M9" s="364" t="s">
        <v>904</v>
      </c>
      <c r="N9" s="364" t="s">
        <v>74</v>
      </c>
      <c r="O9" s="364"/>
      <c r="P9" s="678">
        <v>0.8</v>
      </c>
      <c r="Q9" s="679"/>
      <c r="R9" s="679"/>
      <c r="S9" s="679"/>
      <c r="T9" s="679"/>
      <c r="U9" s="679"/>
      <c r="V9" s="364">
        <v>125309064</v>
      </c>
      <c r="W9" s="364">
        <v>64326892613</v>
      </c>
      <c r="X9" s="364" t="s">
        <v>894</v>
      </c>
      <c r="Y9" s="678">
        <v>1</v>
      </c>
      <c r="Z9" s="678">
        <v>0.8</v>
      </c>
      <c r="AA9" s="678">
        <f>+Y9/'[13]PAI REGALÍAS'!P9</f>
        <v>1.25</v>
      </c>
      <c r="AB9" s="107" t="s">
        <v>905</v>
      </c>
      <c r="AC9" s="680"/>
      <c r="AD9" s="680"/>
      <c r="AE9" s="680"/>
      <c r="AF9" s="680"/>
      <c r="AG9" s="678">
        <v>1.42</v>
      </c>
      <c r="AH9" s="678">
        <v>0.8</v>
      </c>
      <c r="AI9" s="678">
        <f>+AG9/'[14]PAI REGALÍAS'!P9</f>
        <v>1.7749999999999999</v>
      </c>
      <c r="AJ9" s="107" t="s">
        <v>906</v>
      </c>
      <c r="AK9" s="680"/>
      <c r="AL9" s="680"/>
      <c r="AM9" s="680"/>
      <c r="AN9" s="680"/>
      <c r="AO9" s="678">
        <v>0.66216216216216217</v>
      </c>
      <c r="AP9" s="678">
        <v>0.8</v>
      </c>
      <c r="AQ9" s="678">
        <f t="shared" ref="AQ9:AQ13" si="0">+AO9/P9</f>
        <v>0.82770270270270263</v>
      </c>
      <c r="AR9" s="107" t="s">
        <v>907</v>
      </c>
      <c r="AS9" s="680"/>
      <c r="AT9" s="680"/>
      <c r="AU9" s="680"/>
      <c r="AV9" s="680"/>
    </row>
    <row r="10" spans="1:708" ht="70.5" customHeight="1" x14ac:dyDescent="0.25">
      <c r="A10" s="96" t="s">
        <v>43</v>
      </c>
      <c r="B10" s="96" t="s">
        <v>44</v>
      </c>
      <c r="C10" s="96" t="s">
        <v>45</v>
      </c>
      <c r="D10" s="96" t="s">
        <v>46</v>
      </c>
      <c r="E10" s="96" t="s">
        <v>47</v>
      </c>
      <c r="F10" s="96" t="s">
        <v>504</v>
      </c>
      <c r="G10" s="96" t="s">
        <v>49</v>
      </c>
      <c r="H10" s="96" t="s">
        <v>50</v>
      </c>
      <c r="I10" s="96" t="s">
        <v>51</v>
      </c>
      <c r="J10" s="96" t="s">
        <v>52</v>
      </c>
      <c r="K10" s="96" t="s">
        <v>908</v>
      </c>
      <c r="L10" s="96" t="s">
        <v>892</v>
      </c>
      <c r="M10" s="96" t="s">
        <v>893</v>
      </c>
      <c r="N10" s="96" t="s">
        <v>74</v>
      </c>
      <c r="O10" s="96"/>
      <c r="P10" s="112">
        <v>0.75</v>
      </c>
      <c r="Q10" s="679"/>
      <c r="R10" s="679"/>
      <c r="S10" s="679"/>
      <c r="T10" s="679"/>
      <c r="U10" s="679"/>
      <c r="V10" s="96">
        <v>980814657</v>
      </c>
      <c r="W10" s="96">
        <v>64326892613</v>
      </c>
      <c r="X10" s="96" t="s">
        <v>894</v>
      </c>
      <c r="Y10" s="115">
        <v>1</v>
      </c>
      <c r="Z10" s="115">
        <v>0.75</v>
      </c>
      <c r="AA10" s="115">
        <f>+Y10/'[13]PAI REGALÍAS'!P10</f>
        <v>1.3333333333333333</v>
      </c>
      <c r="AB10" s="116" t="s">
        <v>895</v>
      </c>
      <c r="AC10" s="682"/>
      <c r="AD10" s="682"/>
      <c r="AE10" s="682"/>
      <c r="AF10" s="683"/>
      <c r="AG10" s="115">
        <v>1</v>
      </c>
      <c r="AH10" s="115">
        <v>0.75</v>
      </c>
      <c r="AI10" s="115">
        <f>+AG10/'[14]PAI REGALÍAS'!P10</f>
        <v>1.3333333333333333</v>
      </c>
      <c r="AJ10" s="116" t="s">
        <v>909</v>
      </c>
      <c r="AK10" s="682"/>
      <c r="AL10" s="682"/>
      <c r="AM10" s="682"/>
      <c r="AN10" s="683"/>
      <c r="AO10" s="115">
        <v>1</v>
      </c>
      <c r="AP10" s="115">
        <v>0.75</v>
      </c>
      <c r="AQ10" s="115">
        <f t="shared" si="0"/>
        <v>1.3333333333333333</v>
      </c>
      <c r="AR10" s="116" t="s">
        <v>910</v>
      </c>
      <c r="AS10" s="682"/>
      <c r="AT10" s="682"/>
      <c r="AU10" s="682"/>
      <c r="AV10" s="683"/>
    </row>
    <row r="11" spans="1:708" ht="70.5" customHeight="1" x14ac:dyDescent="0.25">
      <c r="A11" s="364" t="s">
        <v>43</v>
      </c>
      <c r="B11" s="364" t="s">
        <v>44</v>
      </c>
      <c r="C11" s="364" t="s">
        <v>45</v>
      </c>
      <c r="D11" s="364" t="s">
        <v>46</v>
      </c>
      <c r="E11" s="364" t="s">
        <v>47</v>
      </c>
      <c r="F11" s="364" t="s">
        <v>504</v>
      </c>
      <c r="G11" s="364" t="s">
        <v>49</v>
      </c>
      <c r="H11" s="364" t="s">
        <v>50</v>
      </c>
      <c r="I11" s="364" t="s">
        <v>78</v>
      </c>
      <c r="J11" s="364" t="s">
        <v>52</v>
      </c>
      <c r="K11" s="364" t="s">
        <v>908</v>
      </c>
      <c r="L11" s="364" t="s">
        <v>898</v>
      </c>
      <c r="M11" s="364" t="s">
        <v>899</v>
      </c>
      <c r="N11" s="364" t="s">
        <v>56</v>
      </c>
      <c r="O11" s="684"/>
      <c r="P11" s="685">
        <v>95</v>
      </c>
      <c r="Q11" s="679"/>
      <c r="R11" s="679"/>
      <c r="S11" s="679"/>
      <c r="T11" s="679"/>
      <c r="U11" s="679"/>
      <c r="V11" s="364">
        <v>48879865</v>
      </c>
      <c r="W11" s="364">
        <v>64326892613</v>
      </c>
      <c r="X11" s="364" t="s">
        <v>894</v>
      </c>
      <c r="Y11" s="678">
        <v>0</v>
      </c>
      <c r="Z11" s="678">
        <v>0.95</v>
      </c>
      <c r="AA11" s="678">
        <f>+Y11/'[13]PAI REGALÍAS'!P11</f>
        <v>0</v>
      </c>
      <c r="AB11" s="107" t="s">
        <v>911</v>
      </c>
      <c r="AC11" s="680"/>
      <c r="AD11" s="680"/>
      <c r="AE11" s="680"/>
      <c r="AF11" s="680"/>
      <c r="AG11" s="685">
        <v>3</v>
      </c>
      <c r="AH11" s="685">
        <v>95</v>
      </c>
      <c r="AI11" s="678">
        <f>+AG11/'[14]PAI REGALÍAS'!P11</f>
        <v>3.1578947368421054E-2</v>
      </c>
      <c r="AJ11" s="107" t="s">
        <v>912</v>
      </c>
      <c r="AK11" s="680"/>
      <c r="AL11" s="680"/>
      <c r="AM11" s="680"/>
      <c r="AN11" s="680"/>
      <c r="AO11" s="685">
        <v>3</v>
      </c>
      <c r="AP11" s="685">
        <v>95</v>
      </c>
      <c r="AQ11" s="678">
        <f t="shared" si="0"/>
        <v>3.1578947368421054E-2</v>
      </c>
      <c r="AR11" s="107" t="s">
        <v>913</v>
      </c>
      <c r="AS11" s="680"/>
      <c r="AT11" s="680"/>
      <c r="AU11" s="680"/>
      <c r="AV11" s="680"/>
    </row>
    <row r="12" spans="1:708" ht="70.5" customHeight="1" x14ac:dyDescent="0.25">
      <c r="A12" s="96" t="s">
        <v>43</v>
      </c>
      <c r="B12" s="96" t="s">
        <v>44</v>
      </c>
      <c r="C12" s="96" t="s">
        <v>45</v>
      </c>
      <c r="D12" s="96" t="s">
        <v>349</v>
      </c>
      <c r="E12" s="96" t="s">
        <v>71</v>
      </c>
      <c r="F12" s="96" t="s">
        <v>48</v>
      </c>
      <c r="G12" s="96" t="s">
        <v>49</v>
      </c>
      <c r="H12" s="96" t="s">
        <v>50</v>
      </c>
      <c r="I12" s="96" t="s">
        <v>78</v>
      </c>
      <c r="J12" s="96" t="s">
        <v>52</v>
      </c>
      <c r="K12" s="96" t="s">
        <v>908</v>
      </c>
      <c r="L12" s="96" t="s">
        <v>903</v>
      </c>
      <c r="M12" s="96" t="s">
        <v>904</v>
      </c>
      <c r="N12" s="96" t="s">
        <v>74</v>
      </c>
      <c r="O12" s="96"/>
      <c r="P12" s="112">
        <v>0.8</v>
      </c>
      <c r="Q12" s="679"/>
      <c r="R12" s="679"/>
      <c r="S12" s="679"/>
      <c r="T12" s="679"/>
      <c r="U12" s="679"/>
      <c r="V12" s="96">
        <v>165761195</v>
      </c>
      <c r="W12" s="96">
        <v>64326892613</v>
      </c>
      <c r="X12" s="96" t="s">
        <v>894</v>
      </c>
      <c r="Y12" s="115">
        <v>1</v>
      </c>
      <c r="Z12" s="115">
        <v>0.8</v>
      </c>
      <c r="AA12" s="115">
        <f>+Y12/'[13]PAI REGALÍAS'!P12</f>
        <v>1.25</v>
      </c>
      <c r="AB12" s="116" t="s">
        <v>914</v>
      </c>
      <c r="AC12" s="682"/>
      <c r="AD12" s="682"/>
      <c r="AE12" s="682"/>
      <c r="AF12" s="683"/>
      <c r="AG12" s="115">
        <v>1.21</v>
      </c>
      <c r="AH12" s="115">
        <v>0.8</v>
      </c>
      <c r="AI12" s="115">
        <f>+AG12/'[14]PAI REGALÍAS'!P12</f>
        <v>1.5125</v>
      </c>
      <c r="AJ12" s="116" t="s">
        <v>915</v>
      </c>
      <c r="AK12" s="682"/>
      <c r="AL12" s="682"/>
      <c r="AM12" s="682"/>
      <c r="AN12" s="683"/>
      <c r="AO12" s="115">
        <v>0.875</v>
      </c>
      <c r="AP12" s="115">
        <v>0.8</v>
      </c>
      <c r="AQ12" s="115">
        <f t="shared" si="0"/>
        <v>1.09375</v>
      </c>
      <c r="AR12" s="116" t="s">
        <v>916</v>
      </c>
      <c r="AS12" s="682"/>
      <c r="AT12" s="682"/>
      <c r="AU12" s="682"/>
      <c r="AV12" s="683"/>
    </row>
    <row r="13" spans="1:708" ht="89.25" customHeight="1" x14ac:dyDescent="0.25">
      <c r="A13" s="364" t="s">
        <v>43</v>
      </c>
      <c r="B13" s="364" t="s">
        <v>44</v>
      </c>
      <c r="C13" s="364" t="s">
        <v>45</v>
      </c>
      <c r="D13" s="364" t="s">
        <v>46</v>
      </c>
      <c r="E13" s="364" t="s">
        <v>47</v>
      </c>
      <c r="F13" s="364" t="s">
        <v>326</v>
      </c>
      <c r="G13" s="364" t="s">
        <v>49</v>
      </c>
      <c r="H13" s="364" t="s">
        <v>50</v>
      </c>
      <c r="I13" s="364" t="s">
        <v>51</v>
      </c>
      <c r="J13" s="364" t="s">
        <v>52</v>
      </c>
      <c r="K13" s="364" t="s">
        <v>917</v>
      </c>
      <c r="L13" s="364" t="s">
        <v>328</v>
      </c>
      <c r="M13" s="364" t="s">
        <v>329</v>
      </c>
      <c r="N13" s="364" t="s">
        <v>74</v>
      </c>
      <c r="O13" s="364"/>
      <c r="P13" s="678">
        <v>0.9</v>
      </c>
      <c r="Q13" s="679"/>
      <c r="R13" s="679"/>
      <c r="S13" s="679"/>
      <c r="T13" s="679"/>
      <c r="U13" s="679"/>
      <c r="V13" s="364">
        <v>360808794</v>
      </c>
      <c r="W13" s="364">
        <v>64326892613</v>
      </c>
      <c r="X13" s="364" t="s">
        <v>894</v>
      </c>
      <c r="Y13" s="108">
        <v>1</v>
      </c>
      <c r="Z13" s="678">
        <v>0.9</v>
      </c>
      <c r="AA13" s="678">
        <f>+Y13/'[13]PAI REGALÍAS'!P13</f>
        <v>1.1111111111111112</v>
      </c>
      <c r="AB13" s="107" t="s">
        <v>918</v>
      </c>
      <c r="AC13" s="680"/>
      <c r="AD13" s="680"/>
      <c r="AE13" s="680"/>
      <c r="AF13" s="680"/>
      <c r="AG13" s="108">
        <v>1</v>
      </c>
      <c r="AH13" s="678">
        <v>0.9</v>
      </c>
      <c r="AI13" s="678">
        <f>+AG13/'[14]PAI REGALÍAS'!P13</f>
        <v>1.1111111111111112</v>
      </c>
      <c r="AJ13" s="107" t="s">
        <v>919</v>
      </c>
      <c r="AK13" s="680"/>
      <c r="AL13" s="680"/>
      <c r="AM13" s="680"/>
      <c r="AN13" s="680"/>
      <c r="AO13" s="108">
        <v>1</v>
      </c>
      <c r="AP13" s="678">
        <v>0.9</v>
      </c>
      <c r="AQ13" s="678">
        <f t="shared" si="0"/>
        <v>1.1111111111111112</v>
      </c>
      <c r="AR13" s="107" t="s">
        <v>920</v>
      </c>
      <c r="AS13" s="680"/>
      <c r="AT13" s="680"/>
      <c r="AU13" s="680"/>
      <c r="AV13" s="680"/>
    </row>
    <row r="14" spans="1:708" ht="87" customHeight="1" x14ac:dyDescent="0.25">
      <c r="A14" s="96" t="s">
        <v>43</v>
      </c>
      <c r="B14" s="96" t="s">
        <v>44</v>
      </c>
      <c r="C14" s="96" t="s">
        <v>45</v>
      </c>
      <c r="D14" s="96" t="s">
        <v>46</v>
      </c>
      <c r="E14" s="96" t="s">
        <v>71</v>
      </c>
      <c r="F14" s="96" t="s">
        <v>48</v>
      </c>
      <c r="G14" s="96" t="s">
        <v>49</v>
      </c>
      <c r="H14" s="96" t="s">
        <v>50</v>
      </c>
      <c r="I14" s="96" t="s">
        <v>78</v>
      </c>
      <c r="J14" s="96" t="s">
        <v>52</v>
      </c>
      <c r="K14" s="96" t="s">
        <v>921</v>
      </c>
      <c r="L14" s="96" t="s">
        <v>922</v>
      </c>
      <c r="M14" s="96" t="s">
        <v>923</v>
      </c>
      <c r="N14" s="96" t="s">
        <v>74</v>
      </c>
      <c r="O14" s="96"/>
      <c r="P14" s="112">
        <v>0.55000000000000004</v>
      </c>
      <c r="Q14" s="679"/>
      <c r="R14" s="679"/>
      <c r="S14" s="679"/>
      <c r="T14" s="679"/>
      <c r="U14" s="679"/>
      <c r="V14" s="96">
        <v>852240076</v>
      </c>
      <c r="W14" s="96">
        <v>64326892613</v>
      </c>
      <c r="X14" s="96" t="s">
        <v>894</v>
      </c>
      <c r="Y14" s="686">
        <f>26/470</f>
        <v>5.5319148936170209E-2</v>
      </c>
      <c r="Z14" s="115">
        <v>0.55000000000000004</v>
      </c>
      <c r="AA14" s="115">
        <f>+Y14/'[13]PAI REGALÍAS'!P14</f>
        <v>0.10058027079303673</v>
      </c>
      <c r="AB14" s="116" t="s">
        <v>924</v>
      </c>
      <c r="AC14" s="682"/>
      <c r="AD14" s="682"/>
      <c r="AE14" s="682"/>
      <c r="AF14" s="683"/>
      <c r="AG14" s="686">
        <f>69/747</f>
        <v>9.2369477911646583E-2</v>
      </c>
      <c r="AH14" s="115">
        <v>0.55000000000000004</v>
      </c>
      <c r="AI14" s="115">
        <f>+AG14/'[14]PAI REGALÍAS'!P14</f>
        <v>0.16794450529390287</v>
      </c>
      <c r="AJ14" s="116" t="s">
        <v>925</v>
      </c>
      <c r="AK14" s="682"/>
      <c r="AL14" s="682"/>
      <c r="AM14" s="682"/>
      <c r="AN14" s="683"/>
      <c r="AO14" s="686">
        <f>128/747</f>
        <v>0.17135207496653279</v>
      </c>
      <c r="AP14" s="115">
        <v>0.55000000000000004</v>
      </c>
      <c r="AQ14" s="115">
        <f>+AO14/P14</f>
        <v>0.31154922721187778</v>
      </c>
      <c r="AR14" s="116" t="s">
        <v>926</v>
      </c>
      <c r="AS14" s="682"/>
      <c r="AT14" s="682"/>
      <c r="AU14" s="682"/>
      <c r="AV14" s="683"/>
    </row>
    <row r="15" spans="1:708" s="22" customFormat="1" ht="70.5" customHeight="1" x14ac:dyDescent="0.25">
      <c r="A15" s="55"/>
      <c r="B15" s="55"/>
      <c r="C15" s="55"/>
      <c r="D15" s="55"/>
      <c r="E15" s="55"/>
      <c r="F15" s="55"/>
      <c r="G15" s="55"/>
      <c r="H15" s="55"/>
      <c r="I15" s="55"/>
      <c r="J15" s="55"/>
      <c r="K15" s="55"/>
      <c r="L15" s="55"/>
      <c r="M15" s="55"/>
      <c r="N15" s="55"/>
      <c r="O15" s="55"/>
      <c r="P15" s="56"/>
      <c r="Q15" s="55"/>
      <c r="R15" s="55"/>
      <c r="S15" s="55"/>
      <c r="T15" s="55"/>
      <c r="U15" s="55"/>
      <c r="V15" s="95"/>
      <c r="W15" s="95"/>
      <c r="X15" s="55"/>
      <c r="Y15" s="388" t="s">
        <v>99</v>
      </c>
      <c r="Z15" s="388"/>
      <c r="AA15" s="58">
        <f>AVERAGE(AA7:AA14)</f>
        <v>0.7972947560713517</v>
      </c>
      <c r="AB15" s="59"/>
      <c r="AC15" s="388" t="s">
        <v>100</v>
      </c>
      <c r="AD15" s="388"/>
      <c r="AE15" s="58" t="s">
        <v>590</v>
      </c>
      <c r="AF15" s="55"/>
      <c r="AG15" s="388" t="s">
        <v>99</v>
      </c>
      <c r="AH15" s="388"/>
      <c r="AI15" s="58">
        <f>AVERAGE(AI7:AI14)</f>
        <v>0.90810015380501263</v>
      </c>
      <c r="AJ15" s="59"/>
      <c r="AK15" s="388" t="s">
        <v>100</v>
      </c>
      <c r="AL15" s="388"/>
      <c r="AM15" s="58" t="s">
        <v>590</v>
      </c>
      <c r="AN15" s="55"/>
      <c r="AO15" s="388" t="s">
        <v>99</v>
      </c>
      <c r="AP15" s="388"/>
      <c r="AQ15" s="58">
        <f>AVERAGE(AQ7:AQ14)</f>
        <v>0.75661062135628165</v>
      </c>
      <c r="AR15" s="59"/>
      <c r="AS15" s="388" t="s">
        <v>100</v>
      </c>
      <c r="AT15" s="388"/>
      <c r="AU15" s="58" t="s">
        <v>590</v>
      </c>
      <c r="AV15" s="55"/>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c r="GO15" s="21"/>
      <c r="GP15" s="21"/>
      <c r="GQ15" s="21"/>
      <c r="GR15" s="21"/>
      <c r="GS15" s="21"/>
      <c r="GT15" s="21"/>
      <c r="GU15" s="21"/>
      <c r="GV15" s="21"/>
      <c r="GW15" s="21"/>
      <c r="GX15" s="21"/>
      <c r="GY15" s="21"/>
      <c r="GZ15" s="21"/>
      <c r="HA15" s="21"/>
      <c r="HB15" s="21"/>
      <c r="HC15" s="21"/>
      <c r="HD15" s="21"/>
      <c r="HE15" s="21"/>
      <c r="HF15" s="21"/>
      <c r="HG15" s="21"/>
      <c r="HH15" s="21"/>
      <c r="HI15" s="21"/>
      <c r="HJ15" s="21"/>
      <c r="HK15" s="21"/>
      <c r="HL15" s="21"/>
      <c r="HM15" s="21"/>
      <c r="HN15" s="21"/>
      <c r="HO15" s="21"/>
      <c r="HP15" s="21"/>
      <c r="HQ15" s="21"/>
      <c r="HR15" s="21"/>
      <c r="HS15" s="21"/>
      <c r="HT15" s="21"/>
      <c r="HU15" s="21"/>
      <c r="HV15" s="21"/>
      <c r="HW15" s="21"/>
      <c r="HX15" s="21"/>
      <c r="HY15" s="21"/>
      <c r="HZ15" s="21"/>
      <c r="IA15" s="21"/>
      <c r="IB15" s="21"/>
      <c r="IC15" s="21"/>
      <c r="ID15" s="21"/>
      <c r="IE15" s="21"/>
      <c r="IF15" s="21"/>
      <c r="IG15" s="21"/>
      <c r="IH15" s="21"/>
      <c r="II15" s="21"/>
      <c r="IJ15" s="21"/>
      <c r="IK15" s="21"/>
      <c r="IL15" s="21"/>
      <c r="IM15" s="21"/>
      <c r="IN15" s="21"/>
      <c r="IO15" s="21"/>
      <c r="IP15" s="21"/>
      <c r="IQ15" s="21"/>
      <c r="IR15" s="21"/>
      <c r="IS15" s="21"/>
      <c r="IT15" s="21"/>
      <c r="IU15" s="21"/>
      <c r="IV15" s="21"/>
      <c r="IW15" s="21"/>
      <c r="IX15" s="21"/>
      <c r="IY15" s="21"/>
      <c r="IZ15" s="21"/>
      <c r="JA15" s="21"/>
      <c r="JB15" s="21"/>
      <c r="JC15" s="21"/>
      <c r="JD15" s="21"/>
      <c r="JE15" s="21"/>
      <c r="JF15" s="21"/>
      <c r="JG15" s="21"/>
      <c r="JH15" s="21"/>
      <c r="JI15" s="21"/>
      <c r="JJ15" s="21"/>
      <c r="JK15" s="21"/>
      <c r="JL15" s="21"/>
      <c r="JM15" s="21"/>
      <c r="JN15" s="21"/>
      <c r="JO15" s="21"/>
      <c r="JP15" s="21"/>
      <c r="JQ15" s="21"/>
      <c r="JR15" s="21"/>
      <c r="JS15" s="21"/>
      <c r="JT15" s="21"/>
      <c r="JU15" s="21"/>
      <c r="JV15" s="21"/>
      <c r="JW15" s="21"/>
      <c r="JX15" s="21"/>
      <c r="JY15" s="21"/>
      <c r="JZ15" s="21"/>
      <c r="KA15" s="21"/>
      <c r="KB15" s="21"/>
      <c r="KC15" s="21"/>
      <c r="KD15" s="21"/>
      <c r="KE15" s="21"/>
      <c r="KF15" s="21"/>
      <c r="KG15" s="21"/>
      <c r="KH15" s="21"/>
      <c r="KI15" s="21"/>
      <c r="KJ15" s="21"/>
      <c r="KK15" s="21"/>
      <c r="KL15" s="21"/>
      <c r="KM15" s="21"/>
      <c r="KN15" s="21"/>
      <c r="KO15" s="21"/>
      <c r="KP15" s="21"/>
      <c r="KQ15" s="21"/>
      <c r="KR15" s="21"/>
      <c r="KS15" s="21"/>
      <c r="KT15" s="21"/>
      <c r="KU15" s="21"/>
      <c r="KV15" s="21"/>
      <c r="KW15" s="21"/>
      <c r="KX15" s="21"/>
      <c r="KY15" s="21"/>
      <c r="KZ15" s="21"/>
      <c r="LA15" s="21"/>
      <c r="LB15" s="21"/>
      <c r="LC15" s="21"/>
      <c r="LD15" s="21"/>
      <c r="LE15" s="21"/>
      <c r="LF15" s="21"/>
      <c r="LG15" s="21"/>
      <c r="LH15" s="21"/>
      <c r="LI15" s="21"/>
      <c r="LJ15" s="21"/>
      <c r="LK15" s="21"/>
      <c r="LL15" s="21"/>
      <c r="LM15" s="21"/>
      <c r="LN15" s="21"/>
      <c r="LO15" s="21"/>
      <c r="LP15" s="21"/>
      <c r="LQ15" s="21"/>
      <c r="LR15" s="21"/>
      <c r="LS15" s="21"/>
      <c r="LT15" s="21"/>
      <c r="LU15" s="21"/>
      <c r="LV15" s="21"/>
      <c r="LW15" s="21"/>
      <c r="LX15" s="21"/>
      <c r="LY15" s="21"/>
      <c r="LZ15" s="21"/>
      <c r="MA15" s="21"/>
      <c r="MB15" s="21"/>
      <c r="MC15" s="21"/>
      <c r="MD15" s="21"/>
      <c r="ME15" s="21"/>
      <c r="MF15" s="21"/>
      <c r="MG15" s="21"/>
      <c r="MH15" s="21"/>
      <c r="MI15" s="21"/>
      <c r="MJ15" s="21"/>
      <c r="MK15" s="21"/>
      <c r="ML15" s="21"/>
      <c r="MM15" s="21"/>
      <c r="MN15" s="21"/>
      <c r="MO15" s="21"/>
      <c r="MP15" s="21"/>
      <c r="MQ15" s="21"/>
      <c r="MR15" s="21"/>
      <c r="MS15" s="21"/>
      <c r="MT15" s="21"/>
      <c r="MU15" s="21"/>
      <c r="MV15" s="21"/>
      <c r="MW15" s="21"/>
      <c r="MX15" s="21"/>
      <c r="MY15" s="21"/>
      <c r="MZ15" s="21"/>
      <c r="NA15" s="21"/>
      <c r="NB15" s="21"/>
      <c r="NC15" s="21"/>
      <c r="ND15" s="21"/>
      <c r="NE15" s="21"/>
      <c r="NF15" s="21"/>
      <c r="NG15" s="21"/>
      <c r="NH15" s="21"/>
      <c r="NI15" s="21"/>
      <c r="NJ15" s="21"/>
      <c r="NK15" s="21"/>
      <c r="NL15" s="21"/>
      <c r="NM15" s="21"/>
      <c r="NN15" s="21"/>
      <c r="NO15" s="21"/>
      <c r="NP15" s="21"/>
      <c r="NQ15" s="21"/>
      <c r="NR15" s="21"/>
      <c r="NS15" s="21"/>
      <c r="NT15" s="21"/>
      <c r="NU15" s="21"/>
      <c r="NV15" s="21"/>
      <c r="NW15" s="21"/>
      <c r="NX15" s="21"/>
      <c r="NY15" s="21"/>
      <c r="NZ15" s="21"/>
      <c r="OA15" s="21"/>
      <c r="OB15" s="21"/>
      <c r="OC15" s="21"/>
      <c r="OD15" s="21"/>
      <c r="OE15" s="21"/>
      <c r="OF15" s="21"/>
      <c r="OG15" s="21"/>
      <c r="OH15" s="21"/>
      <c r="OI15" s="21"/>
      <c r="OJ15" s="21"/>
      <c r="OK15" s="21"/>
      <c r="OL15" s="21"/>
      <c r="OM15" s="21"/>
      <c r="ON15" s="21"/>
      <c r="OO15" s="21"/>
      <c r="OP15" s="21"/>
      <c r="OQ15" s="21"/>
      <c r="OR15" s="21"/>
      <c r="OS15" s="21"/>
      <c r="OT15" s="21"/>
      <c r="OU15" s="21"/>
      <c r="OV15" s="21"/>
      <c r="OW15" s="21"/>
      <c r="OX15" s="21"/>
      <c r="OY15" s="21"/>
      <c r="OZ15" s="21"/>
      <c r="PA15" s="21"/>
      <c r="PB15" s="21"/>
      <c r="PC15" s="21"/>
      <c r="PD15" s="21"/>
      <c r="PE15" s="21"/>
      <c r="PF15" s="21"/>
      <c r="PG15" s="21"/>
      <c r="PH15" s="21"/>
      <c r="PI15" s="21"/>
      <c r="PJ15" s="21"/>
      <c r="PK15" s="21"/>
      <c r="PL15" s="21"/>
      <c r="PM15" s="21"/>
      <c r="PN15" s="21"/>
      <c r="PO15" s="21"/>
      <c r="PP15" s="21"/>
      <c r="PQ15" s="21"/>
      <c r="PR15" s="21"/>
      <c r="PS15" s="21"/>
      <c r="PT15" s="21"/>
      <c r="PU15" s="21"/>
      <c r="PV15" s="21"/>
      <c r="PW15" s="21"/>
      <c r="PX15" s="21"/>
      <c r="PY15" s="21"/>
      <c r="PZ15" s="21"/>
      <c r="QA15" s="21"/>
      <c r="QB15" s="21"/>
      <c r="QC15" s="21"/>
      <c r="QD15" s="21"/>
      <c r="QE15" s="21"/>
      <c r="QF15" s="21"/>
      <c r="QG15" s="21"/>
      <c r="QH15" s="21"/>
      <c r="QI15" s="21"/>
      <c r="QJ15" s="21"/>
      <c r="QK15" s="21"/>
      <c r="QL15" s="21"/>
      <c r="QM15" s="21"/>
      <c r="QN15" s="21"/>
      <c r="QO15" s="21"/>
      <c r="QP15" s="21"/>
      <c r="QQ15" s="21"/>
      <c r="QR15" s="21"/>
      <c r="QS15" s="21"/>
      <c r="QT15" s="21"/>
      <c r="QU15" s="21"/>
      <c r="QV15" s="21"/>
      <c r="QW15" s="21"/>
      <c r="QX15" s="21"/>
      <c r="QY15" s="21"/>
      <c r="QZ15" s="21"/>
      <c r="RA15" s="21"/>
      <c r="RB15" s="21"/>
      <c r="RC15" s="21"/>
      <c r="RD15" s="21"/>
      <c r="RE15" s="21"/>
      <c r="RF15" s="21"/>
      <c r="RG15" s="21"/>
      <c r="RH15" s="21"/>
      <c r="RI15" s="21"/>
      <c r="RJ15" s="21"/>
      <c r="RK15" s="21"/>
      <c r="RL15" s="21"/>
      <c r="RM15" s="21"/>
      <c r="RN15" s="21"/>
      <c r="RO15" s="21"/>
      <c r="RP15" s="21"/>
      <c r="RQ15" s="21"/>
      <c r="RR15" s="21"/>
      <c r="RS15" s="21"/>
      <c r="RT15" s="21"/>
      <c r="RU15" s="21"/>
      <c r="RV15" s="21"/>
      <c r="RW15" s="21"/>
      <c r="RX15" s="21"/>
      <c r="RY15" s="21"/>
      <c r="RZ15" s="21"/>
      <c r="SA15" s="21"/>
      <c r="SB15" s="21"/>
      <c r="SC15" s="21"/>
      <c r="SD15" s="21"/>
      <c r="SE15" s="21"/>
      <c r="SF15" s="21"/>
      <c r="SG15" s="21"/>
      <c r="SH15" s="21"/>
      <c r="SI15" s="21"/>
      <c r="SJ15" s="21"/>
      <c r="SK15" s="21"/>
      <c r="SL15" s="21"/>
      <c r="SM15" s="21"/>
      <c r="SN15" s="21"/>
      <c r="SO15" s="21"/>
      <c r="SP15" s="21"/>
      <c r="SQ15" s="21"/>
      <c r="SR15" s="21"/>
      <c r="SS15" s="21"/>
      <c r="ST15" s="21"/>
      <c r="SU15" s="21"/>
      <c r="SV15" s="21"/>
      <c r="SW15" s="21"/>
      <c r="SX15" s="21"/>
      <c r="SY15" s="21"/>
      <c r="SZ15" s="21"/>
      <c r="TA15" s="21"/>
      <c r="TB15" s="21"/>
      <c r="TC15" s="21"/>
      <c r="TD15" s="21"/>
      <c r="TE15" s="21"/>
      <c r="TF15" s="21"/>
      <c r="TG15" s="21"/>
      <c r="TH15" s="21"/>
      <c r="TI15" s="21"/>
      <c r="TJ15" s="21"/>
      <c r="TK15" s="21"/>
      <c r="TL15" s="21"/>
      <c r="TM15" s="21"/>
      <c r="TN15" s="21"/>
      <c r="TO15" s="21"/>
      <c r="TP15" s="21"/>
      <c r="TQ15" s="21"/>
      <c r="TR15" s="21"/>
      <c r="TS15" s="21"/>
      <c r="TT15" s="21"/>
      <c r="TU15" s="21"/>
      <c r="TV15" s="21"/>
      <c r="TW15" s="21"/>
      <c r="TX15" s="21"/>
      <c r="TY15" s="21"/>
      <c r="TZ15" s="21"/>
      <c r="UA15" s="21"/>
      <c r="UB15" s="21"/>
      <c r="UC15" s="21"/>
      <c r="UD15" s="21"/>
      <c r="UE15" s="21"/>
      <c r="UF15" s="21"/>
      <c r="UG15" s="21"/>
      <c r="UH15" s="21"/>
      <c r="UI15" s="21"/>
      <c r="UJ15" s="21"/>
      <c r="UK15" s="21"/>
      <c r="UL15" s="21"/>
      <c r="UM15" s="21"/>
      <c r="UN15" s="21"/>
      <c r="UO15" s="21"/>
      <c r="UP15" s="21"/>
      <c r="UQ15" s="21"/>
      <c r="UR15" s="21"/>
      <c r="US15" s="21"/>
      <c r="UT15" s="21"/>
      <c r="UU15" s="21"/>
      <c r="UV15" s="21"/>
      <c r="UW15" s="21"/>
      <c r="UX15" s="21"/>
      <c r="UY15" s="21"/>
      <c r="UZ15" s="21"/>
      <c r="VA15" s="21"/>
      <c r="VB15" s="21"/>
      <c r="VC15" s="21"/>
      <c r="VD15" s="21"/>
      <c r="VE15" s="21"/>
      <c r="VF15" s="21"/>
      <c r="VG15" s="21"/>
      <c r="VH15" s="21"/>
      <c r="VI15" s="21"/>
      <c r="VJ15" s="21"/>
      <c r="VK15" s="21"/>
      <c r="VL15" s="21"/>
      <c r="VM15" s="21"/>
      <c r="VN15" s="21"/>
      <c r="VO15" s="21"/>
      <c r="VP15" s="21"/>
      <c r="VQ15" s="21"/>
      <c r="VR15" s="21"/>
      <c r="VS15" s="21"/>
      <c r="VT15" s="21"/>
      <c r="VU15" s="21"/>
      <c r="VV15" s="21"/>
      <c r="VW15" s="21"/>
      <c r="VX15" s="21"/>
      <c r="VY15" s="21"/>
      <c r="VZ15" s="21"/>
      <c r="WA15" s="21"/>
      <c r="WB15" s="21"/>
      <c r="WC15" s="21"/>
      <c r="WD15" s="21"/>
      <c r="WE15" s="21"/>
      <c r="WF15" s="21"/>
      <c r="WG15" s="21"/>
      <c r="WH15" s="21"/>
      <c r="WI15" s="21"/>
      <c r="WJ15" s="21"/>
      <c r="WK15" s="21"/>
      <c r="WL15" s="21"/>
      <c r="WM15" s="21"/>
      <c r="WN15" s="21"/>
      <c r="WO15" s="21"/>
      <c r="WP15" s="21"/>
      <c r="WQ15" s="21"/>
      <c r="WR15" s="21"/>
      <c r="WS15" s="21"/>
      <c r="WT15" s="21"/>
      <c r="WU15" s="21"/>
      <c r="WV15" s="21"/>
      <c r="WW15" s="21"/>
      <c r="WX15" s="21"/>
      <c r="WY15" s="21"/>
      <c r="WZ15" s="21"/>
      <c r="XA15" s="21"/>
      <c r="XB15" s="21"/>
      <c r="XC15" s="21"/>
      <c r="XD15" s="21"/>
      <c r="XE15" s="21"/>
      <c r="XF15" s="21"/>
      <c r="XG15" s="21"/>
      <c r="XH15" s="21"/>
      <c r="XI15" s="21"/>
      <c r="XJ15" s="21"/>
      <c r="XK15" s="21"/>
      <c r="XL15" s="21"/>
      <c r="XM15" s="21"/>
      <c r="XN15" s="21"/>
      <c r="XO15" s="21"/>
      <c r="XP15" s="21"/>
      <c r="XQ15" s="21"/>
      <c r="XR15" s="21"/>
      <c r="XS15" s="21"/>
      <c r="XT15" s="21"/>
      <c r="XU15" s="21"/>
      <c r="XV15" s="21"/>
      <c r="XW15" s="21"/>
      <c r="XX15" s="21"/>
      <c r="XY15" s="21"/>
      <c r="XZ15" s="21"/>
      <c r="YA15" s="21"/>
      <c r="YB15" s="21"/>
      <c r="YC15" s="21"/>
      <c r="YD15" s="21"/>
      <c r="YE15" s="21"/>
      <c r="YF15" s="21"/>
      <c r="YG15" s="21"/>
      <c r="YH15" s="21"/>
      <c r="YI15" s="21"/>
      <c r="YJ15" s="21"/>
      <c r="YK15" s="21"/>
      <c r="YL15" s="21"/>
      <c r="YM15" s="21"/>
      <c r="YN15" s="21"/>
      <c r="YO15" s="21"/>
      <c r="YP15" s="21"/>
      <c r="YQ15" s="21"/>
      <c r="YR15" s="21"/>
      <c r="YS15" s="21"/>
      <c r="YT15" s="21"/>
      <c r="YU15" s="21"/>
      <c r="YV15" s="21"/>
      <c r="YW15" s="21"/>
      <c r="YX15" s="21"/>
      <c r="YY15" s="21"/>
      <c r="YZ15" s="21"/>
      <c r="ZA15" s="21"/>
      <c r="ZB15" s="21"/>
      <c r="ZC15" s="21"/>
      <c r="ZD15" s="21"/>
      <c r="ZE15" s="21"/>
      <c r="ZF15" s="21"/>
      <c r="ZG15" s="21"/>
      <c r="ZH15" s="21"/>
      <c r="ZI15" s="21"/>
      <c r="ZJ15" s="21"/>
      <c r="ZK15" s="21"/>
      <c r="ZL15" s="21"/>
      <c r="ZM15" s="21"/>
      <c r="ZN15" s="21"/>
      <c r="ZO15" s="21"/>
      <c r="ZP15" s="21"/>
      <c r="ZQ15" s="21"/>
      <c r="ZR15" s="21"/>
      <c r="ZS15" s="21"/>
      <c r="ZT15" s="21"/>
      <c r="ZU15" s="21"/>
      <c r="ZV15" s="21"/>
      <c r="ZW15" s="21"/>
      <c r="ZX15" s="21"/>
      <c r="ZY15" s="21"/>
      <c r="ZZ15" s="21"/>
      <c r="AAA15" s="21"/>
      <c r="AAB15" s="21"/>
      <c r="AAC15" s="21"/>
      <c r="AAD15" s="21"/>
      <c r="AAE15" s="21"/>
      <c r="AAF15" s="21"/>
    </row>
    <row r="16" spans="1:708" ht="22.5" customHeight="1" x14ac:dyDescent="0.25">
      <c r="A16" s="136"/>
      <c r="B16" s="136"/>
      <c r="C16" s="136"/>
      <c r="D16" s="136"/>
      <c r="E16" s="136"/>
      <c r="F16" s="136"/>
      <c r="G16" s="136"/>
      <c r="H16" s="136"/>
      <c r="I16" s="136"/>
      <c r="J16" s="136"/>
      <c r="K16" s="136"/>
      <c r="L16" s="136"/>
      <c r="M16" s="136"/>
      <c r="N16" s="136"/>
      <c r="O16" s="136"/>
      <c r="P16" s="136"/>
      <c r="Q16" s="136"/>
      <c r="R16" s="136"/>
      <c r="S16" s="136"/>
      <c r="T16" s="136"/>
      <c r="U16" s="136"/>
      <c r="V16" s="138"/>
      <c r="W16" s="138"/>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row>
    <row r="17" spans="1:48" ht="22.5" customHeight="1" x14ac:dyDescent="0.25">
      <c r="A17" s="136"/>
      <c r="B17" s="136"/>
      <c r="C17" s="136"/>
      <c r="D17" s="136"/>
      <c r="E17" s="136"/>
      <c r="F17" s="136"/>
      <c r="G17" s="136"/>
      <c r="H17" s="136"/>
      <c r="I17" s="136"/>
      <c r="J17" s="136"/>
      <c r="K17" s="136"/>
      <c r="L17" s="136"/>
      <c r="M17" s="136"/>
      <c r="N17" s="136"/>
      <c r="O17" s="136"/>
      <c r="P17" s="136"/>
      <c r="Q17" s="136"/>
      <c r="R17" s="136"/>
      <c r="S17" s="136"/>
      <c r="T17" s="136"/>
      <c r="U17" s="136"/>
      <c r="V17" s="138"/>
      <c r="W17" s="138"/>
      <c r="X17" s="136"/>
      <c r="Y17" s="136"/>
      <c r="Z17" s="136"/>
      <c r="AA17" s="136"/>
      <c r="AB17" s="136"/>
      <c r="AC17" s="136"/>
      <c r="AD17" s="136"/>
      <c r="AE17" s="136"/>
      <c r="AF17" s="136"/>
      <c r="AG17" s="136"/>
      <c r="AH17" s="136"/>
      <c r="AI17" s="136"/>
      <c r="AJ17" s="136"/>
      <c r="AK17" s="136"/>
      <c r="AL17" s="136"/>
      <c r="AM17" s="136"/>
      <c r="AN17" s="136"/>
      <c r="AO17" s="136"/>
      <c r="AP17" s="136"/>
      <c r="AQ17" s="136"/>
      <c r="AR17" s="136"/>
      <c r="AS17" s="136"/>
      <c r="AT17" s="136"/>
      <c r="AU17" s="136"/>
      <c r="AV17" s="136"/>
    </row>
    <row r="18" spans="1:48" s="21" customFormat="1" ht="22.5" customHeight="1" x14ac:dyDescent="0.25">
      <c r="V18" s="141"/>
      <c r="W18" s="141"/>
    </row>
    <row r="19" spans="1:48" s="21" customFormat="1" ht="22.5" customHeight="1" x14ac:dyDescent="0.25">
      <c r="V19" s="141"/>
      <c r="W19" s="141"/>
    </row>
    <row r="20" spans="1:48" s="21" customFormat="1" ht="22.5" customHeight="1" x14ac:dyDescent="0.25">
      <c r="V20" s="141"/>
      <c r="W20" s="141"/>
    </row>
    <row r="21" spans="1:48" s="21" customFormat="1" ht="22.5" customHeight="1" x14ac:dyDescent="0.25">
      <c r="V21" s="141"/>
      <c r="W21" s="141"/>
    </row>
    <row r="22" spans="1:48" s="21" customFormat="1" ht="22.5" customHeight="1" x14ac:dyDescent="0.25">
      <c r="V22" s="141"/>
      <c r="W22" s="141"/>
    </row>
    <row r="23" spans="1:48" s="21" customFormat="1" ht="22.5" customHeight="1" x14ac:dyDescent="0.25">
      <c r="V23" s="141"/>
      <c r="W23" s="141"/>
    </row>
    <row r="24" spans="1:48" s="21" customFormat="1" ht="22.5" customHeight="1" x14ac:dyDescent="0.25">
      <c r="V24" s="141"/>
      <c r="W24" s="141"/>
    </row>
    <row r="25" spans="1:48" s="21" customFormat="1" ht="22.5" customHeight="1" x14ac:dyDescent="0.25">
      <c r="V25" s="141"/>
      <c r="W25" s="141"/>
    </row>
    <row r="26" spans="1:48" s="21" customFormat="1" ht="22.5" customHeight="1" x14ac:dyDescent="0.25">
      <c r="V26" s="141"/>
      <c r="W26" s="141"/>
    </row>
    <row r="27" spans="1:48" s="21" customFormat="1" ht="22.5" customHeight="1" x14ac:dyDescent="0.25">
      <c r="V27" s="141"/>
      <c r="W27" s="141"/>
    </row>
    <row r="28" spans="1:48" s="21" customFormat="1" ht="22.5" customHeight="1" x14ac:dyDescent="0.25">
      <c r="V28" s="141"/>
      <c r="W28" s="141"/>
    </row>
    <row r="29" spans="1:48" s="21" customFormat="1" ht="22.5" customHeight="1" x14ac:dyDescent="0.25">
      <c r="V29" s="141"/>
      <c r="W29" s="141"/>
    </row>
    <row r="30" spans="1:48" s="21" customFormat="1" ht="22.5" customHeight="1" x14ac:dyDescent="0.25">
      <c r="V30" s="141"/>
      <c r="W30" s="141"/>
    </row>
    <row r="31" spans="1:48" s="21" customFormat="1" ht="22.5" customHeight="1" x14ac:dyDescent="0.25">
      <c r="V31" s="141"/>
      <c r="W31" s="141"/>
    </row>
    <row r="32" spans="1:48" s="21" customFormat="1" ht="22.5" customHeight="1" x14ac:dyDescent="0.25">
      <c r="V32" s="141"/>
      <c r="W32" s="141"/>
    </row>
    <row r="33" spans="22:23" s="21" customFormat="1" ht="22.5" customHeight="1" x14ac:dyDescent="0.25">
      <c r="V33" s="141"/>
      <c r="W33" s="141"/>
    </row>
    <row r="34" spans="22:23" s="21" customFormat="1" ht="22.5" customHeight="1" x14ac:dyDescent="0.25">
      <c r="V34" s="141"/>
      <c r="W34" s="141"/>
    </row>
    <row r="35" spans="22:23" s="21" customFormat="1" ht="22.5" customHeight="1" x14ac:dyDescent="0.25">
      <c r="V35" s="141"/>
      <c r="W35" s="141"/>
    </row>
    <row r="36" spans="22:23" s="21" customFormat="1" ht="22.5" customHeight="1" x14ac:dyDescent="0.25">
      <c r="V36" s="141"/>
      <c r="W36" s="141"/>
    </row>
    <row r="37" spans="22:23" s="21" customFormat="1" ht="22.5" customHeight="1" x14ac:dyDescent="0.25">
      <c r="V37" s="141"/>
      <c r="W37" s="141"/>
    </row>
    <row r="38" spans="22:23" s="21" customFormat="1" ht="22.5" customHeight="1" x14ac:dyDescent="0.25">
      <c r="V38" s="141"/>
      <c r="W38" s="141"/>
    </row>
    <row r="39" spans="22:23" s="21" customFormat="1" ht="22.5" customHeight="1" x14ac:dyDescent="0.25">
      <c r="V39" s="141"/>
      <c r="W39" s="141"/>
    </row>
    <row r="40" spans="22:23" s="21" customFormat="1" ht="22.5" customHeight="1" x14ac:dyDescent="0.25">
      <c r="V40" s="141"/>
      <c r="W40" s="141"/>
    </row>
    <row r="41" spans="22:23" s="21" customFormat="1" ht="22.5" customHeight="1" x14ac:dyDescent="0.25">
      <c r="V41" s="141"/>
      <c r="W41" s="141"/>
    </row>
    <row r="42" spans="22:23" s="21" customFormat="1" ht="22.5" customHeight="1" x14ac:dyDescent="0.25">
      <c r="V42" s="141"/>
      <c r="W42" s="141"/>
    </row>
    <row r="43" spans="22:23" s="21" customFormat="1" ht="22.5" customHeight="1" x14ac:dyDescent="0.25">
      <c r="V43" s="141"/>
      <c r="W43" s="141"/>
    </row>
    <row r="44" spans="22:23" s="21" customFormat="1" ht="22.5" customHeight="1" x14ac:dyDescent="0.25">
      <c r="V44" s="141"/>
      <c r="W44" s="141"/>
    </row>
    <row r="45" spans="22:23" s="21" customFormat="1" ht="22.5" customHeight="1" x14ac:dyDescent="0.25">
      <c r="V45" s="141"/>
      <c r="W45" s="141"/>
    </row>
    <row r="46" spans="22:23" s="21" customFormat="1" ht="22.5" customHeight="1" x14ac:dyDescent="0.25">
      <c r="V46" s="141"/>
      <c r="W46" s="141"/>
    </row>
    <row r="47" spans="22:23" s="21" customFormat="1" ht="22.5" customHeight="1" x14ac:dyDescent="0.25">
      <c r="V47" s="141"/>
      <c r="W47" s="141"/>
    </row>
    <row r="48" spans="22:23" s="21" customFormat="1" ht="22.5" customHeight="1" x14ac:dyDescent="0.25">
      <c r="V48" s="141"/>
      <c r="W48" s="141"/>
    </row>
    <row r="49" spans="22:23" s="21" customFormat="1" ht="22.5" customHeight="1" x14ac:dyDescent="0.25">
      <c r="V49" s="141"/>
      <c r="W49" s="141"/>
    </row>
    <row r="50" spans="22:23" s="21" customFormat="1" ht="22.5" customHeight="1" x14ac:dyDescent="0.25">
      <c r="V50" s="141"/>
      <c r="W50" s="141"/>
    </row>
    <row r="51" spans="22:23" s="21" customFormat="1" ht="22.5" customHeight="1" x14ac:dyDescent="0.25">
      <c r="V51" s="141"/>
      <c r="W51" s="141"/>
    </row>
    <row r="52" spans="22:23" s="21" customFormat="1" ht="22.5" customHeight="1" x14ac:dyDescent="0.25">
      <c r="V52" s="141"/>
      <c r="W52" s="141"/>
    </row>
    <row r="53" spans="22:23" s="21" customFormat="1" ht="22.5" customHeight="1" x14ac:dyDescent="0.25">
      <c r="V53" s="141"/>
      <c r="W53" s="141"/>
    </row>
    <row r="54" spans="22:23" s="21" customFormat="1" ht="22.5" customHeight="1" x14ac:dyDescent="0.25">
      <c r="V54" s="141"/>
      <c r="W54" s="141"/>
    </row>
    <row r="55" spans="22:23" s="21" customFormat="1" ht="22.5" customHeight="1" x14ac:dyDescent="0.25">
      <c r="V55" s="141"/>
      <c r="W55" s="141"/>
    </row>
    <row r="56" spans="22:23" s="21" customFormat="1" ht="22.5" customHeight="1" x14ac:dyDescent="0.25">
      <c r="V56" s="141"/>
      <c r="W56" s="141"/>
    </row>
    <row r="57" spans="22:23" s="21" customFormat="1" ht="22.5" customHeight="1" x14ac:dyDescent="0.25">
      <c r="V57" s="141"/>
      <c r="W57" s="141"/>
    </row>
    <row r="58" spans="22:23" s="21" customFormat="1" ht="22.5" customHeight="1" x14ac:dyDescent="0.25">
      <c r="V58" s="141"/>
      <c r="W58" s="141"/>
    </row>
    <row r="59" spans="22:23" s="21" customFormat="1" ht="22.5" customHeight="1" x14ac:dyDescent="0.25">
      <c r="V59" s="141"/>
      <c r="W59" s="141"/>
    </row>
    <row r="60" spans="22:23" s="21" customFormat="1" ht="22.5" customHeight="1" x14ac:dyDescent="0.25">
      <c r="V60" s="141"/>
      <c r="W60" s="141"/>
    </row>
    <row r="61" spans="22:23" s="21" customFormat="1" ht="22.5" customHeight="1" x14ac:dyDescent="0.25">
      <c r="V61" s="141"/>
      <c r="W61" s="141"/>
    </row>
    <row r="62" spans="22:23" s="21" customFormat="1" ht="22.5" customHeight="1" x14ac:dyDescent="0.25">
      <c r="V62" s="141"/>
      <c r="W62" s="141"/>
    </row>
    <row r="63" spans="22:23" s="21" customFormat="1" ht="22.5" customHeight="1" x14ac:dyDescent="0.25">
      <c r="V63" s="141"/>
      <c r="W63" s="141"/>
    </row>
    <row r="64" spans="22:23" s="21" customFormat="1" ht="22.5" customHeight="1" x14ac:dyDescent="0.25">
      <c r="V64" s="141"/>
      <c r="W64" s="141"/>
    </row>
    <row r="65" spans="22:23" s="21" customFormat="1" ht="22.5" customHeight="1" x14ac:dyDescent="0.25">
      <c r="V65" s="141"/>
      <c r="W65" s="141"/>
    </row>
    <row r="66" spans="22:23" s="21" customFormat="1" ht="22.5" customHeight="1" x14ac:dyDescent="0.25">
      <c r="V66" s="141"/>
      <c r="W66" s="141"/>
    </row>
    <row r="67" spans="22:23" s="21" customFormat="1" ht="22.5" customHeight="1" x14ac:dyDescent="0.25">
      <c r="V67" s="141"/>
      <c r="W67" s="141"/>
    </row>
    <row r="68" spans="22:23" s="21" customFormat="1" ht="22.5" customHeight="1" x14ac:dyDescent="0.25">
      <c r="V68" s="141"/>
      <c r="W68" s="141"/>
    </row>
    <row r="69" spans="22:23" s="21" customFormat="1" ht="22.5" customHeight="1" x14ac:dyDescent="0.25">
      <c r="V69" s="141"/>
      <c r="W69" s="141"/>
    </row>
    <row r="70" spans="22:23" s="21" customFormat="1" ht="22.5" customHeight="1" x14ac:dyDescent="0.25">
      <c r="V70" s="141"/>
      <c r="W70" s="141"/>
    </row>
    <row r="71" spans="22:23" s="21" customFormat="1" ht="22.5" customHeight="1" x14ac:dyDescent="0.25">
      <c r="V71" s="141"/>
      <c r="W71" s="141"/>
    </row>
    <row r="72" spans="22:23" s="21" customFormat="1" ht="22.5" customHeight="1" x14ac:dyDescent="0.25">
      <c r="V72" s="141"/>
      <c r="W72" s="141"/>
    </row>
    <row r="73" spans="22:23" s="21" customFormat="1" ht="22.5" customHeight="1" x14ac:dyDescent="0.25">
      <c r="V73" s="141"/>
      <c r="W73" s="141"/>
    </row>
    <row r="74" spans="22:23" s="21" customFormat="1" ht="22.5" customHeight="1" x14ac:dyDescent="0.25">
      <c r="V74" s="141"/>
      <c r="W74" s="141"/>
    </row>
    <row r="75" spans="22:23" s="21" customFormat="1" ht="22.5" customHeight="1" x14ac:dyDescent="0.25">
      <c r="V75" s="141"/>
      <c r="W75" s="141"/>
    </row>
    <row r="76" spans="22:23" s="21" customFormat="1" ht="22.5" customHeight="1" x14ac:dyDescent="0.25">
      <c r="V76" s="141"/>
      <c r="W76" s="141"/>
    </row>
    <row r="77" spans="22:23" s="21" customFormat="1" ht="22.5" customHeight="1" x14ac:dyDescent="0.25">
      <c r="V77" s="141"/>
      <c r="W77" s="141"/>
    </row>
    <row r="78" spans="22:23" s="21" customFormat="1" ht="22.5" customHeight="1" x14ac:dyDescent="0.25">
      <c r="V78" s="141"/>
      <c r="W78" s="141"/>
    </row>
    <row r="79" spans="22:23" s="21" customFormat="1" ht="22.5" customHeight="1" x14ac:dyDescent="0.25">
      <c r="V79" s="141"/>
      <c r="W79" s="141"/>
    </row>
    <row r="80" spans="22:23" s="21" customFormat="1" ht="22.5" customHeight="1" x14ac:dyDescent="0.25">
      <c r="V80" s="141"/>
      <c r="W80" s="141"/>
    </row>
    <row r="81" spans="22:23" s="21" customFormat="1" ht="22.5" customHeight="1" x14ac:dyDescent="0.25">
      <c r="V81" s="141"/>
      <c r="W81" s="141"/>
    </row>
    <row r="82" spans="22:23" s="21" customFormat="1" ht="22.5" customHeight="1" x14ac:dyDescent="0.25">
      <c r="V82" s="141"/>
      <c r="W82" s="141"/>
    </row>
    <row r="83" spans="22:23" s="21" customFormat="1" ht="22.5" customHeight="1" x14ac:dyDescent="0.25">
      <c r="V83" s="141"/>
      <c r="W83" s="141"/>
    </row>
    <row r="84" spans="22:23" s="21" customFormat="1" ht="22.5" customHeight="1" x14ac:dyDescent="0.25">
      <c r="V84" s="141"/>
      <c r="W84" s="141"/>
    </row>
    <row r="85" spans="22:23" s="21" customFormat="1" ht="22.5" customHeight="1" x14ac:dyDescent="0.25">
      <c r="V85" s="141"/>
      <c r="W85" s="141"/>
    </row>
    <row r="86" spans="22:23" s="21" customFormat="1" ht="22.5" customHeight="1" x14ac:dyDescent="0.25">
      <c r="V86" s="141"/>
      <c r="W86" s="141"/>
    </row>
    <row r="87" spans="22:23" s="21" customFormat="1" ht="22.5" customHeight="1" x14ac:dyDescent="0.25">
      <c r="V87" s="141"/>
      <c r="W87" s="141"/>
    </row>
    <row r="88" spans="22:23" s="21" customFormat="1" ht="22.5" customHeight="1" x14ac:dyDescent="0.25">
      <c r="V88" s="141"/>
      <c r="W88" s="141"/>
    </row>
    <row r="89" spans="22:23" s="21" customFormat="1" ht="22.5" customHeight="1" x14ac:dyDescent="0.25">
      <c r="V89" s="141"/>
      <c r="W89" s="141"/>
    </row>
    <row r="90" spans="22:23" s="21" customFormat="1" ht="22.5" customHeight="1" x14ac:dyDescent="0.25">
      <c r="V90" s="141"/>
      <c r="W90" s="141"/>
    </row>
    <row r="91" spans="22:23" s="21" customFormat="1" ht="22.5" customHeight="1" x14ac:dyDescent="0.25">
      <c r="V91" s="141"/>
      <c r="W91" s="141"/>
    </row>
    <row r="92" spans="22:23" s="21" customFormat="1" ht="22.5" customHeight="1" x14ac:dyDescent="0.25">
      <c r="V92" s="141"/>
      <c r="W92" s="141"/>
    </row>
    <row r="93" spans="22:23" s="21" customFormat="1" ht="22.5" customHeight="1" x14ac:dyDescent="0.25">
      <c r="V93" s="141"/>
      <c r="W93" s="141"/>
    </row>
    <row r="94" spans="22:23" s="21" customFormat="1" ht="22.5" customHeight="1" x14ac:dyDescent="0.25">
      <c r="V94" s="141"/>
      <c r="W94" s="141"/>
    </row>
    <row r="95" spans="22:23" s="21" customFormat="1" ht="22.5" customHeight="1" x14ac:dyDescent="0.25">
      <c r="V95" s="141"/>
      <c r="W95" s="141"/>
    </row>
    <row r="96" spans="22:23" s="21" customFormat="1" ht="22.5" customHeight="1" x14ac:dyDescent="0.25">
      <c r="V96" s="141"/>
      <c r="W96" s="141"/>
    </row>
    <row r="97" spans="22:23" s="21" customFormat="1" ht="22.5" customHeight="1" x14ac:dyDescent="0.25">
      <c r="V97" s="141"/>
      <c r="W97" s="141"/>
    </row>
    <row r="98" spans="22:23" s="21" customFormat="1" ht="22.5" customHeight="1" x14ac:dyDescent="0.25">
      <c r="V98" s="141"/>
      <c r="W98" s="141"/>
    </row>
    <row r="99" spans="22:23" s="21" customFormat="1" ht="22.5" customHeight="1" x14ac:dyDescent="0.25">
      <c r="V99" s="141"/>
      <c r="W99" s="141"/>
    </row>
    <row r="100" spans="22:23" s="21" customFormat="1" ht="22.5" customHeight="1" x14ac:dyDescent="0.25">
      <c r="V100" s="141"/>
      <c r="W100" s="141"/>
    </row>
    <row r="101" spans="22:23" s="21" customFormat="1" ht="22.5" customHeight="1" x14ac:dyDescent="0.25">
      <c r="V101" s="141"/>
      <c r="W101" s="141"/>
    </row>
    <row r="102" spans="22:23" s="21" customFormat="1" ht="22.5" customHeight="1" x14ac:dyDescent="0.25">
      <c r="V102" s="141"/>
      <c r="W102" s="141"/>
    </row>
    <row r="103" spans="22:23" s="21" customFormat="1" ht="22.5" customHeight="1" x14ac:dyDescent="0.25">
      <c r="V103" s="141"/>
      <c r="W103" s="141"/>
    </row>
    <row r="104" spans="22:23" s="21" customFormat="1" ht="22.5" customHeight="1" x14ac:dyDescent="0.25">
      <c r="V104" s="141"/>
      <c r="W104" s="141"/>
    </row>
    <row r="105" spans="22:23" s="21" customFormat="1" ht="22.5" customHeight="1" x14ac:dyDescent="0.25">
      <c r="V105" s="141"/>
      <c r="W105" s="141"/>
    </row>
    <row r="106" spans="22:23" s="21" customFormat="1" ht="22.5" customHeight="1" x14ac:dyDescent="0.25">
      <c r="V106" s="141"/>
      <c r="W106" s="141"/>
    </row>
    <row r="107" spans="22:23" s="21" customFormat="1" ht="22.5" customHeight="1" x14ac:dyDescent="0.25">
      <c r="V107" s="141"/>
      <c r="W107" s="141"/>
    </row>
    <row r="108" spans="22:23" s="21" customFormat="1" ht="22.5" customHeight="1" x14ac:dyDescent="0.25">
      <c r="V108" s="141"/>
      <c r="W108" s="141"/>
    </row>
    <row r="109" spans="22:23" s="21" customFormat="1" ht="22.5" customHeight="1" x14ac:dyDescent="0.25">
      <c r="V109" s="141"/>
      <c r="W109" s="141"/>
    </row>
    <row r="110" spans="22:23" s="21" customFormat="1" ht="22.5" customHeight="1" x14ac:dyDescent="0.25">
      <c r="V110" s="141"/>
      <c r="W110" s="141"/>
    </row>
    <row r="111" spans="22:23" s="21" customFormat="1" ht="22.5" customHeight="1" x14ac:dyDescent="0.25">
      <c r="V111" s="141"/>
      <c r="W111" s="141"/>
    </row>
    <row r="112" spans="22:23" s="21" customFormat="1" ht="22.5" customHeight="1" x14ac:dyDescent="0.25">
      <c r="V112" s="141"/>
      <c r="W112" s="141"/>
    </row>
    <row r="113" spans="22:23" s="21" customFormat="1" ht="22.5" customHeight="1" x14ac:dyDescent="0.25">
      <c r="V113" s="141"/>
      <c r="W113" s="141"/>
    </row>
    <row r="114" spans="22:23" s="21" customFormat="1" ht="22.5" customHeight="1" x14ac:dyDescent="0.25">
      <c r="V114" s="141"/>
      <c r="W114" s="141"/>
    </row>
    <row r="115" spans="22:23" s="21" customFormat="1" ht="22.5" customHeight="1" x14ac:dyDescent="0.25">
      <c r="V115" s="141"/>
      <c r="W115" s="141"/>
    </row>
    <row r="116" spans="22:23" s="21" customFormat="1" ht="22.5" customHeight="1" x14ac:dyDescent="0.25">
      <c r="V116" s="141"/>
      <c r="W116" s="141"/>
    </row>
    <row r="117" spans="22:23" s="21" customFormat="1" ht="22.5" customHeight="1" x14ac:dyDescent="0.25">
      <c r="V117" s="141"/>
      <c r="W117" s="141"/>
    </row>
    <row r="118" spans="22:23" s="21" customFormat="1" ht="22.5" customHeight="1" x14ac:dyDescent="0.25">
      <c r="V118" s="141"/>
      <c r="W118" s="141"/>
    </row>
    <row r="119" spans="22:23" s="21" customFormat="1" ht="22.5" customHeight="1" x14ac:dyDescent="0.25">
      <c r="V119" s="141"/>
      <c r="W119" s="141"/>
    </row>
    <row r="120" spans="22:23" s="21" customFormat="1" ht="22.5" customHeight="1" x14ac:dyDescent="0.25">
      <c r="V120" s="141"/>
      <c r="W120" s="141"/>
    </row>
    <row r="121" spans="22:23" s="21" customFormat="1" ht="22.5" customHeight="1" x14ac:dyDescent="0.25">
      <c r="V121" s="141"/>
      <c r="W121" s="141"/>
    </row>
    <row r="122" spans="22:23" s="21" customFormat="1" ht="22.5" customHeight="1" x14ac:dyDescent="0.25">
      <c r="V122" s="141"/>
      <c r="W122" s="141"/>
    </row>
    <row r="123" spans="22:23" s="21" customFormat="1" ht="22.5" customHeight="1" x14ac:dyDescent="0.25">
      <c r="V123" s="141"/>
      <c r="W123" s="141"/>
    </row>
    <row r="124" spans="22:23" s="21" customFormat="1" ht="22.5" customHeight="1" x14ac:dyDescent="0.25">
      <c r="V124" s="141"/>
      <c r="W124" s="141"/>
    </row>
    <row r="125" spans="22:23" s="21" customFormat="1" ht="22.5" customHeight="1" x14ac:dyDescent="0.25">
      <c r="V125" s="141"/>
      <c r="W125" s="141"/>
    </row>
    <row r="126" spans="22:23" s="21" customFormat="1" ht="22.5" customHeight="1" x14ac:dyDescent="0.25">
      <c r="V126" s="141"/>
      <c r="W126" s="141"/>
    </row>
    <row r="127" spans="22:23" s="21" customFormat="1" ht="22.5" customHeight="1" x14ac:dyDescent="0.25">
      <c r="V127" s="141"/>
      <c r="W127" s="141"/>
    </row>
    <row r="128" spans="22:23" s="21" customFormat="1" ht="22.5" customHeight="1" x14ac:dyDescent="0.25">
      <c r="V128" s="141"/>
      <c r="W128" s="141"/>
    </row>
    <row r="129" spans="22:23" s="21" customFormat="1" ht="22.5" customHeight="1" x14ac:dyDescent="0.25">
      <c r="V129" s="141"/>
      <c r="W129" s="141"/>
    </row>
    <row r="130" spans="22:23" s="21" customFormat="1" ht="22.5" customHeight="1" x14ac:dyDescent="0.25">
      <c r="V130" s="141"/>
      <c r="W130" s="141"/>
    </row>
    <row r="131" spans="22:23" s="21" customFormat="1" ht="22.5" customHeight="1" x14ac:dyDescent="0.25">
      <c r="V131" s="141"/>
      <c r="W131" s="141"/>
    </row>
    <row r="132" spans="22:23" s="21" customFormat="1" ht="22.5" customHeight="1" x14ac:dyDescent="0.25">
      <c r="V132" s="141"/>
      <c r="W132" s="141"/>
    </row>
    <row r="133" spans="22:23" s="21" customFormat="1" ht="22.5" customHeight="1" x14ac:dyDescent="0.25">
      <c r="V133" s="141"/>
      <c r="W133" s="141"/>
    </row>
    <row r="134" spans="22:23" s="21" customFormat="1" ht="22.5" customHeight="1" x14ac:dyDescent="0.25">
      <c r="V134" s="141"/>
      <c r="W134" s="141"/>
    </row>
    <row r="135" spans="22:23" s="21" customFormat="1" ht="22.5" customHeight="1" x14ac:dyDescent="0.25">
      <c r="V135" s="141"/>
      <c r="W135" s="141"/>
    </row>
    <row r="136" spans="22:23" s="21" customFormat="1" ht="22.5" customHeight="1" x14ac:dyDescent="0.25">
      <c r="V136" s="141"/>
      <c r="W136" s="141"/>
    </row>
    <row r="137" spans="22:23" s="21" customFormat="1" ht="22.5" customHeight="1" x14ac:dyDescent="0.25">
      <c r="V137" s="141"/>
      <c r="W137" s="141"/>
    </row>
    <row r="138" spans="22:23" s="21" customFormat="1" ht="22.5" customHeight="1" x14ac:dyDescent="0.25">
      <c r="V138" s="141"/>
      <c r="W138" s="141"/>
    </row>
    <row r="139" spans="22:23" s="21" customFormat="1" ht="22.5" customHeight="1" x14ac:dyDescent="0.25">
      <c r="V139" s="141"/>
      <c r="W139" s="141"/>
    </row>
    <row r="140" spans="22:23" s="21" customFormat="1" ht="22.5" customHeight="1" x14ac:dyDescent="0.25">
      <c r="V140" s="141"/>
      <c r="W140" s="141"/>
    </row>
    <row r="141" spans="22:23" s="21" customFormat="1" ht="22.5" customHeight="1" x14ac:dyDescent="0.25">
      <c r="V141" s="141"/>
      <c r="W141" s="141"/>
    </row>
    <row r="142" spans="22:23" s="21" customFormat="1" ht="22.5" customHeight="1" x14ac:dyDescent="0.25">
      <c r="V142" s="141"/>
      <c r="W142" s="141"/>
    </row>
    <row r="143" spans="22:23" s="21" customFormat="1" ht="22.5" customHeight="1" x14ac:dyDescent="0.25">
      <c r="V143" s="141"/>
      <c r="W143" s="141"/>
    </row>
    <row r="144" spans="22:23" s="21" customFormat="1" ht="22.5" customHeight="1" x14ac:dyDescent="0.25">
      <c r="V144" s="141"/>
      <c r="W144" s="141"/>
    </row>
    <row r="145" spans="22:23" s="21" customFormat="1" ht="22.5" customHeight="1" x14ac:dyDescent="0.25">
      <c r="V145" s="141"/>
      <c r="W145" s="141"/>
    </row>
    <row r="146" spans="22:23" s="21" customFormat="1" ht="22.5" customHeight="1" x14ac:dyDescent="0.25">
      <c r="V146" s="141"/>
      <c r="W146" s="141"/>
    </row>
    <row r="147" spans="22:23" s="21" customFormat="1" ht="22.5" customHeight="1" x14ac:dyDescent="0.25">
      <c r="V147" s="141"/>
      <c r="W147" s="141"/>
    </row>
    <row r="148" spans="22:23" s="21" customFormat="1" ht="22.5" customHeight="1" x14ac:dyDescent="0.25">
      <c r="V148" s="141"/>
      <c r="W148" s="141"/>
    </row>
    <row r="149" spans="22:23" s="21" customFormat="1" ht="22.5" customHeight="1" x14ac:dyDescent="0.25">
      <c r="V149" s="141"/>
      <c r="W149" s="141"/>
    </row>
    <row r="150" spans="22:23" s="21" customFormat="1" ht="22.5" customHeight="1" x14ac:dyDescent="0.25">
      <c r="V150" s="141"/>
      <c r="W150" s="141"/>
    </row>
    <row r="151" spans="22:23" s="21" customFormat="1" ht="22.5" customHeight="1" x14ac:dyDescent="0.25">
      <c r="V151" s="141"/>
      <c r="W151" s="141"/>
    </row>
    <row r="152" spans="22:23" s="21" customFormat="1" ht="22.5" customHeight="1" x14ac:dyDescent="0.25">
      <c r="V152" s="141"/>
      <c r="W152" s="141"/>
    </row>
    <row r="153" spans="22:23" s="21" customFormat="1" ht="22.5" customHeight="1" x14ac:dyDescent="0.25">
      <c r="V153" s="141"/>
      <c r="W153" s="141"/>
    </row>
    <row r="154" spans="22:23" s="21" customFormat="1" ht="22.5" customHeight="1" x14ac:dyDescent="0.25">
      <c r="V154" s="141"/>
      <c r="W154" s="141"/>
    </row>
    <row r="155" spans="22:23" s="21" customFormat="1" ht="22.5" customHeight="1" x14ac:dyDescent="0.25">
      <c r="V155" s="141"/>
      <c r="W155" s="141"/>
    </row>
    <row r="156" spans="22:23" s="21" customFormat="1" ht="22.5" customHeight="1" x14ac:dyDescent="0.25">
      <c r="V156" s="141"/>
      <c r="W156" s="141"/>
    </row>
    <row r="157" spans="22:23" s="21" customFormat="1" ht="22.5" customHeight="1" x14ac:dyDescent="0.25">
      <c r="V157" s="141"/>
      <c r="W157" s="141"/>
    </row>
    <row r="158" spans="22:23" s="21" customFormat="1" ht="22.5" customHeight="1" x14ac:dyDescent="0.25">
      <c r="V158" s="141"/>
      <c r="W158" s="141"/>
    </row>
    <row r="159" spans="22:23" s="21" customFormat="1" ht="22.5" customHeight="1" x14ac:dyDescent="0.25">
      <c r="V159" s="141"/>
      <c r="W159" s="141"/>
    </row>
    <row r="160" spans="22:23" s="21" customFormat="1" ht="22.5" customHeight="1" x14ac:dyDescent="0.25">
      <c r="V160" s="141"/>
      <c r="W160" s="141"/>
    </row>
    <row r="161" spans="22:23" s="21" customFormat="1" ht="22.5" customHeight="1" x14ac:dyDescent="0.25">
      <c r="V161" s="141"/>
      <c r="W161" s="141"/>
    </row>
    <row r="162" spans="22:23" s="21" customFormat="1" ht="22.5" customHeight="1" x14ac:dyDescent="0.25">
      <c r="V162" s="141"/>
      <c r="W162" s="141"/>
    </row>
    <row r="163" spans="22:23" s="21" customFormat="1" ht="22.5" customHeight="1" x14ac:dyDescent="0.25">
      <c r="V163" s="141"/>
      <c r="W163" s="141"/>
    </row>
    <row r="164" spans="22:23" s="21" customFormat="1" ht="22.5" customHeight="1" x14ac:dyDescent="0.25">
      <c r="V164" s="141"/>
      <c r="W164" s="141"/>
    </row>
    <row r="165" spans="22:23" s="21" customFormat="1" ht="22.5" customHeight="1" x14ac:dyDescent="0.25">
      <c r="V165" s="141"/>
      <c r="W165" s="141"/>
    </row>
    <row r="166" spans="22:23" s="21" customFormat="1" ht="22.5" customHeight="1" x14ac:dyDescent="0.25">
      <c r="V166" s="141"/>
      <c r="W166" s="141"/>
    </row>
    <row r="167" spans="22:23" s="21" customFormat="1" ht="22.5" customHeight="1" x14ac:dyDescent="0.25">
      <c r="V167" s="141"/>
      <c r="W167" s="141"/>
    </row>
    <row r="168" spans="22:23" s="21" customFormat="1" ht="22.5" customHeight="1" x14ac:dyDescent="0.25">
      <c r="V168" s="141"/>
      <c r="W168" s="141"/>
    </row>
    <row r="169" spans="22:23" s="21" customFormat="1" ht="22.5" customHeight="1" x14ac:dyDescent="0.25">
      <c r="V169" s="141"/>
      <c r="W169" s="141"/>
    </row>
    <row r="170" spans="22:23" s="21" customFormat="1" ht="22.5" customHeight="1" x14ac:dyDescent="0.25">
      <c r="V170" s="141"/>
      <c r="W170" s="141"/>
    </row>
    <row r="171" spans="22:23" s="21" customFormat="1" ht="22.5" customHeight="1" x14ac:dyDescent="0.25">
      <c r="V171" s="141"/>
      <c r="W171" s="141"/>
    </row>
    <row r="172" spans="22:23" s="21" customFormat="1" ht="22.5" customHeight="1" x14ac:dyDescent="0.25">
      <c r="V172" s="141"/>
      <c r="W172" s="141"/>
    </row>
    <row r="173" spans="22:23" s="21" customFormat="1" ht="22.5" customHeight="1" x14ac:dyDescent="0.25">
      <c r="V173" s="141"/>
      <c r="W173" s="141"/>
    </row>
    <row r="174" spans="22:23" s="21" customFormat="1" ht="22.5" customHeight="1" x14ac:dyDescent="0.25">
      <c r="V174" s="141"/>
      <c r="W174" s="141"/>
    </row>
    <row r="175" spans="22:23" s="21" customFormat="1" ht="22.5" customHeight="1" x14ac:dyDescent="0.25">
      <c r="V175" s="141"/>
      <c r="W175" s="141"/>
    </row>
    <row r="176" spans="22:23" s="21" customFormat="1" ht="22.5" customHeight="1" x14ac:dyDescent="0.25">
      <c r="V176" s="141"/>
      <c r="W176" s="141"/>
    </row>
    <row r="177" spans="22:23" s="21" customFormat="1" ht="22.5" customHeight="1" x14ac:dyDescent="0.25">
      <c r="V177" s="141"/>
      <c r="W177" s="141"/>
    </row>
    <row r="178" spans="22:23" s="21" customFormat="1" ht="22.5" customHeight="1" x14ac:dyDescent="0.25">
      <c r="V178" s="141"/>
      <c r="W178" s="141"/>
    </row>
    <row r="179" spans="22:23" s="21" customFormat="1" ht="22.5" customHeight="1" x14ac:dyDescent="0.25">
      <c r="V179" s="141"/>
      <c r="W179" s="141"/>
    </row>
    <row r="180" spans="22:23" s="21" customFormat="1" ht="22.5" customHeight="1" x14ac:dyDescent="0.25">
      <c r="V180" s="141"/>
      <c r="W180" s="141"/>
    </row>
    <row r="181" spans="22:23" s="21" customFormat="1" ht="22.5" customHeight="1" x14ac:dyDescent="0.25">
      <c r="V181" s="141"/>
      <c r="W181" s="141"/>
    </row>
    <row r="182" spans="22:23" s="21" customFormat="1" ht="22.5" customHeight="1" x14ac:dyDescent="0.25">
      <c r="V182" s="141"/>
      <c r="W182" s="141"/>
    </row>
    <row r="183" spans="22:23" s="21" customFormat="1" ht="22.5" customHeight="1" x14ac:dyDescent="0.25">
      <c r="V183" s="141"/>
      <c r="W183" s="141"/>
    </row>
    <row r="184" spans="22:23" s="21" customFormat="1" ht="22.5" customHeight="1" x14ac:dyDescent="0.25">
      <c r="V184" s="141"/>
      <c r="W184" s="141"/>
    </row>
    <row r="185" spans="22:23" s="21" customFormat="1" ht="22.5" customHeight="1" x14ac:dyDescent="0.25">
      <c r="V185" s="141"/>
      <c r="W185" s="141"/>
    </row>
    <row r="186" spans="22:23" s="21" customFormat="1" ht="22.5" customHeight="1" x14ac:dyDescent="0.25">
      <c r="V186" s="141"/>
      <c r="W186" s="141"/>
    </row>
    <row r="187" spans="22:23" s="21" customFormat="1" ht="22.5" customHeight="1" x14ac:dyDescent="0.25">
      <c r="V187" s="141"/>
      <c r="W187" s="141"/>
    </row>
    <row r="188" spans="22:23" s="21" customFormat="1" ht="22.5" customHeight="1" x14ac:dyDescent="0.25">
      <c r="V188" s="141"/>
      <c r="W188" s="141"/>
    </row>
    <row r="189" spans="22:23" s="21" customFormat="1" ht="22.5" customHeight="1" x14ac:dyDescent="0.25">
      <c r="V189" s="141"/>
      <c r="W189" s="141"/>
    </row>
    <row r="190" spans="22:23" s="21" customFormat="1" ht="22.5" customHeight="1" x14ac:dyDescent="0.25">
      <c r="V190" s="141"/>
      <c r="W190" s="141"/>
    </row>
    <row r="191" spans="22:23" s="21" customFormat="1" ht="22.5" customHeight="1" x14ac:dyDescent="0.25">
      <c r="V191" s="141"/>
      <c r="W191" s="141"/>
    </row>
    <row r="192" spans="22:23" s="21" customFormat="1" ht="22.5" customHeight="1" x14ac:dyDescent="0.25">
      <c r="V192" s="141"/>
      <c r="W192" s="141"/>
    </row>
    <row r="193" spans="22:23" s="21" customFormat="1" ht="22.5" customHeight="1" x14ac:dyDescent="0.25">
      <c r="V193" s="141"/>
      <c r="W193" s="141"/>
    </row>
    <row r="194" spans="22:23" s="21" customFormat="1" ht="22.5" customHeight="1" x14ac:dyDescent="0.25">
      <c r="V194" s="141"/>
      <c r="W194" s="141"/>
    </row>
    <row r="195" spans="22:23" s="21" customFormat="1" ht="22.5" customHeight="1" x14ac:dyDescent="0.25">
      <c r="V195" s="141"/>
      <c r="W195" s="141"/>
    </row>
    <row r="196" spans="22:23" s="21" customFormat="1" ht="22.5" customHeight="1" x14ac:dyDescent="0.25">
      <c r="V196" s="141"/>
      <c r="W196" s="141"/>
    </row>
    <row r="197" spans="22:23" s="21" customFormat="1" ht="22.5" customHeight="1" x14ac:dyDescent="0.25">
      <c r="V197" s="141"/>
      <c r="W197" s="141"/>
    </row>
    <row r="198" spans="22:23" s="21" customFormat="1" ht="22.5" customHeight="1" x14ac:dyDescent="0.25">
      <c r="V198" s="141"/>
      <c r="W198" s="141"/>
    </row>
    <row r="199" spans="22:23" s="21" customFormat="1" ht="22.5" customHeight="1" x14ac:dyDescent="0.25">
      <c r="V199" s="141"/>
      <c r="W199" s="141"/>
    </row>
    <row r="200" spans="22:23" s="21" customFormat="1" ht="22.5" customHeight="1" x14ac:dyDescent="0.25">
      <c r="V200" s="141"/>
      <c r="W200" s="141"/>
    </row>
    <row r="201" spans="22:23" s="21" customFormat="1" ht="22.5" customHeight="1" x14ac:dyDescent="0.25">
      <c r="V201" s="141"/>
      <c r="W201" s="141"/>
    </row>
    <row r="202" spans="22:23" s="21" customFormat="1" ht="22.5" customHeight="1" x14ac:dyDescent="0.25">
      <c r="V202" s="141"/>
      <c r="W202" s="141"/>
    </row>
    <row r="203" spans="22:23" s="21" customFormat="1" ht="22.5" customHeight="1" x14ac:dyDescent="0.25">
      <c r="V203" s="141"/>
      <c r="W203" s="141"/>
    </row>
    <row r="204" spans="22:23" s="21" customFormat="1" ht="22.5" customHeight="1" x14ac:dyDescent="0.25">
      <c r="V204" s="141"/>
      <c r="W204" s="141"/>
    </row>
    <row r="205" spans="22:23" s="21" customFormat="1" ht="22.5" customHeight="1" x14ac:dyDescent="0.25">
      <c r="V205" s="141"/>
      <c r="W205" s="141"/>
    </row>
    <row r="206" spans="22:23" s="21" customFormat="1" ht="22.5" customHeight="1" x14ac:dyDescent="0.25">
      <c r="V206" s="141"/>
      <c r="W206" s="141"/>
    </row>
    <row r="207" spans="22:23" s="21" customFormat="1" ht="22.5" customHeight="1" x14ac:dyDescent="0.25">
      <c r="V207" s="141"/>
      <c r="W207" s="141"/>
    </row>
    <row r="208" spans="22:23" s="21" customFormat="1" ht="22.5" customHeight="1" x14ac:dyDescent="0.25">
      <c r="V208" s="141"/>
      <c r="W208" s="141"/>
    </row>
    <row r="209" spans="22:23" s="21" customFormat="1" ht="22.5" customHeight="1" x14ac:dyDescent="0.25">
      <c r="V209" s="141"/>
      <c r="W209" s="141"/>
    </row>
    <row r="210" spans="22:23" s="21" customFormat="1" ht="22.5" customHeight="1" x14ac:dyDescent="0.25">
      <c r="V210" s="141"/>
      <c r="W210" s="141"/>
    </row>
    <row r="211" spans="22:23" s="21" customFormat="1" ht="22.5" customHeight="1" x14ac:dyDescent="0.25">
      <c r="V211" s="141"/>
      <c r="W211" s="141"/>
    </row>
    <row r="212" spans="22:23" s="21" customFormat="1" ht="22.5" customHeight="1" x14ac:dyDescent="0.25">
      <c r="V212" s="141"/>
      <c r="W212" s="141"/>
    </row>
    <row r="213" spans="22:23" s="21" customFormat="1" ht="22.5" customHeight="1" x14ac:dyDescent="0.25">
      <c r="V213" s="141"/>
      <c r="W213" s="141"/>
    </row>
    <row r="214" spans="22:23" s="21" customFormat="1" ht="22.5" customHeight="1" x14ac:dyDescent="0.25">
      <c r="V214" s="141"/>
      <c r="W214" s="141"/>
    </row>
    <row r="215" spans="22:23" s="21" customFormat="1" ht="22.5" customHeight="1" x14ac:dyDescent="0.25">
      <c r="V215" s="141"/>
      <c r="W215" s="141"/>
    </row>
    <row r="216" spans="22:23" s="21" customFormat="1" ht="22.5" customHeight="1" x14ac:dyDescent="0.25">
      <c r="V216" s="141"/>
      <c r="W216" s="141"/>
    </row>
    <row r="217" spans="22:23" s="21" customFormat="1" ht="22.5" customHeight="1" x14ac:dyDescent="0.25">
      <c r="V217" s="141"/>
      <c r="W217" s="141"/>
    </row>
    <row r="218" spans="22:23" s="21" customFormat="1" ht="22.5" customHeight="1" x14ac:dyDescent="0.25">
      <c r="V218" s="141"/>
      <c r="W218" s="141"/>
    </row>
    <row r="219" spans="22:23" s="21" customFormat="1" ht="22.5" customHeight="1" x14ac:dyDescent="0.25">
      <c r="V219" s="141"/>
      <c r="W219" s="141"/>
    </row>
    <row r="220" spans="22:23" s="21" customFormat="1" ht="22.5" customHeight="1" x14ac:dyDescent="0.25">
      <c r="V220" s="141"/>
      <c r="W220" s="141"/>
    </row>
    <row r="221" spans="22:23" s="21" customFormat="1" ht="22.5" customHeight="1" x14ac:dyDescent="0.25">
      <c r="V221" s="141"/>
      <c r="W221" s="141"/>
    </row>
    <row r="222" spans="22:23" s="21" customFormat="1" ht="22.5" customHeight="1" x14ac:dyDescent="0.25">
      <c r="V222" s="141"/>
      <c r="W222" s="141"/>
    </row>
    <row r="223" spans="22:23" s="21" customFormat="1" ht="22.5" customHeight="1" x14ac:dyDescent="0.25">
      <c r="V223" s="141"/>
      <c r="W223" s="141"/>
    </row>
    <row r="224" spans="22:23" s="21" customFormat="1" ht="22.5" customHeight="1" x14ac:dyDescent="0.25">
      <c r="V224" s="141"/>
      <c r="W224" s="141"/>
    </row>
    <row r="225" spans="22:23" s="21" customFormat="1" ht="22.5" customHeight="1" x14ac:dyDescent="0.25">
      <c r="V225" s="141"/>
      <c r="W225" s="141"/>
    </row>
    <row r="226" spans="22:23" s="21" customFormat="1" ht="22.5" customHeight="1" x14ac:dyDescent="0.25">
      <c r="V226" s="141"/>
      <c r="W226" s="141"/>
    </row>
    <row r="227" spans="22:23" s="21" customFormat="1" ht="22.5" customHeight="1" x14ac:dyDescent="0.25">
      <c r="V227" s="141"/>
      <c r="W227" s="141"/>
    </row>
    <row r="228" spans="22:23" s="21" customFormat="1" ht="22.5" customHeight="1" x14ac:dyDescent="0.25">
      <c r="V228" s="141"/>
      <c r="W228" s="141"/>
    </row>
    <row r="229" spans="22:23" s="21" customFormat="1" ht="22.5" customHeight="1" x14ac:dyDescent="0.25">
      <c r="V229" s="141"/>
      <c r="W229" s="141"/>
    </row>
    <row r="230" spans="22:23" s="21" customFormat="1" ht="22.5" customHeight="1" x14ac:dyDescent="0.25">
      <c r="V230" s="141"/>
      <c r="W230" s="141"/>
    </row>
    <row r="231" spans="22:23" s="21" customFormat="1" ht="22.5" customHeight="1" x14ac:dyDescent="0.25">
      <c r="V231" s="141"/>
      <c r="W231" s="141"/>
    </row>
    <row r="232" spans="22:23" s="21" customFormat="1" ht="22.5" customHeight="1" x14ac:dyDescent="0.25">
      <c r="V232" s="141"/>
      <c r="W232" s="141"/>
    </row>
    <row r="233" spans="22:23" s="21" customFormat="1" ht="22.5" customHeight="1" x14ac:dyDescent="0.25">
      <c r="V233" s="141"/>
      <c r="W233" s="141"/>
    </row>
    <row r="234" spans="22:23" s="21" customFormat="1" ht="22.5" customHeight="1" x14ac:dyDescent="0.25">
      <c r="V234" s="141"/>
      <c r="W234" s="141"/>
    </row>
    <row r="235" spans="22:23" s="21" customFormat="1" ht="22.5" customHeight="1" x14ac:dyDescent="0.25">
      <c r="V235" s="141"/>
      <c r="W235" s="141"/>
    </row>
    <row r="236" spans="22:23" s="21" customFormat="1" ht="22.5" customHeight="1" x14ac:dyDescent="0.25">
      <c r="V236" s="141"/>
      <c r="W236" s="141"/>
    </row>
    <row r="237" spans="22:23" s="21" customFormat="1" ht="22.5" customHeight="1" x14ac:dyDescent="0.25">
      <c r="V237" s="141"/>
      <c r="W237" s="141"/>
    </row>
    <row r="238" spans="22:23" s="21" customFormat="1" ht="22.5" customHeight="1" x14ac:dyDescent="0.25">
      <c r="V238" s="141"/>
      <c r="W238" s="141"/>
    </row>
    <row r="239" spans="22:23" s="21" customFormat="1" ht="22.5" customHeight="1" x14ac:dyDescent="0.25">
      <c r="V239" s="141"/>
      <c r="W239" s="141"/>
    </row>
    <row r="240" spans="22:23" s="21" customFormat="1" ht="22.5" customHeight="1" x14ac:dyDescent="0.25">
      <c r="V240" s="141"/>
      <c r="W240" s="141"/>
    </row>
    <row r="241" spans="22:23" s="21" customFormat="1" ht="22.5" customHeight="1" x14ac:dyDescent="0.25">
      <c r="V241" s="141"/>
      <c r="W241" s="141"/>
    </row>
    <row r="242" spans="22:23" s="21" customFormat="1" ht="22.5" customHeight="1" x14ac:dyDescent="0.25">
      <c r="V242" s="141"/>
      <c r="W242" s="141"/>
    </row>
    <row r="243" spans="22:23" s="21" customFormat="1" ht="22.5" customHeight="1" x14ac:dyDescent="0.25">
      <c r="V243" s="141"/>
      <c r="W243" s="141"/>
    </row>
    <row r="244" spans="22:23" s="21" customFormat="1" ht="22.5" customHeight="1" x14ac:dyDescent="0.25">
      <c r="V244" s="141"/>
      <c r="W244" s="141"/>
    </row>
    <row r="245" spans="22:23" s="21" customFormat="1" ht="22.5" customHeight="1" x14ac:dyDescent="0.25">
      <c r="V245" s="141"/>
      <c r="W245" s="141"/>
    </row>
    <row r="246" spans="22:23" s="21" customFormat="1" ht="22.5" customHeight="1" x14ac:dyDescent="0.25">
      <c r="V246" s="141"/>
      <c r="W246" s="141"/>
    </row>
    <row r="247" spans="22:23" s="21" customFormat="1" ht="22.5" customHeight="1" x14ac:dyDescent="0.25">
      <c r="V247" s="141"/>
      <c r="W247" s="141"/>
    </row>
    <row r="248" spans="22:23" s="21" customFormat="1" ht="22.5" customHeight="1" x14ac:dyDescent="0.25">
      <c r="V248" s="141"/>
      <c r="W248" s="141"/>
    </row>
    <row r="249" spans="22:23" s="21" customFormat="1" ht="22.5" customHeight="1" x14ac:dyDescent="0.25">
      <c r="V249" s="141"/>
      <c r="W249" s="141"/>
    </row>
    <row r="250" spans="22:23" s="21" customFormat="1" ht="22.5" customHeight="1" x14ac:dyDescent="0.25">
      <c r="V250" s="141"/>
      <c r="W250" s="141"/>
    </row>
    <row r="251" spans="22:23" s="21" customFormat="1" ht="22.5" customHeight="1" x14ac:dyDescent="0.25">
      <c r="V251" s="141"/>
      <c r="W251" s="141"/>
    </row>
    <row r="252" spans="22:23" s="21" customFormat="1" ht="22.5" customHeight="1" x14ac:dyDescent="0.25">
      <c r="V252" s="141"/>
      <c r="W252" s="141"/>
    </row>
    <row r="253" spans="22:23" s="21" customFormat="1" ht="22.5" customHeight="1" x14ac:dyDescent="0.25">
      <c r="V253" s="141"/>
      <c r="W253" s="141"/>
    </row>
    <row r="254" spans="22:23" s="21" customFormat="1" ht="22.5" customHeight="1" x14ac:dyDescent="0.25">
      <c r="V254" s="141"/>
      <c r="W254" s="141"/>
    </row>
    <row r="255" spans="22:23" s="21" customFormat="1" ht="22.5" customHeight="1" x14ac:dyDescent="0.25">
      <c r="V255" s="141"/>
      <c r="W255" s="141"/>
    </row>
    <row r="256" spans="22:23" s="21" customFormat="1" ht="22.5" customHeight="1" x14ac:dyDescent="0.25">
      <c r="V256" s="141"/>
      <c r="W256" s="141"/>
    </row>
    <row r="257" spans="22:23" s="21" customFormat="1" ht="22.5" customHeight="1" x14ac:dyDescent="0.25">
      <c r="V257" s="141"/>
      <c r="W257" s="141"/>
    </row>
    <row r="258" spans="22:23" s="21" customFormat="1" ht="22.5" customHeight="1" x14ac:dyDescent="0.25">
      <c r="V258" s="141"/>
      <c r="W258" s="141"/>
    </row>
    <row r="259" spans="22:23" s="21" customFormat="1" ht="22.5" customHeight="1" x14ac:dyDescent="0.25">
      <c r="V259" s="141"/>
      <c r="W259" s="141"/>
    </row>
    <row r="260" spans="22:23" s="21" customFormat="1" ht="22.5" customHeight="1" x14ac:dyDescent="0.25">
      <c r="V260" s="141"/>
      <c r="W260" s="141"/>
    </row>
    <row r="261" spans="22:23" s="21" customFormat="1" ht="22.5" customHeight="1" x14ac:dyDescent="0.25">
      <c r="V261" s="141"/>
      <c r="W261" s="141"/>
    </row>
    <row r="262" spans="22:23" s="21" customFormat="1" ht="22.5" customHeight="1" x14ac:dyDescent="0.25">
      <c r="V262" s="141"/>
      <c r="W262" s="141"/>
    </row>
    <row r="263" spans="22:23" s="21" customFormat="1" ht="22.5" customHeight="1" x14ac:dyDescent="0.25">
      <c r="V263" s="141"/>
      <c r="W263" s="141"/>
    </row>
    <row r="264" spans="22:23" s="21" customFormat="1" ht="22.5" customHeight="1" x14ac:dyDescent="0.25">
      <c r="V264" s="141"/>
      <c r="W264" s="141"/>
    </row>
    <row r="265" spans="22:23" s="21" customFormat="1" ht="22.5" customHeight="1" x14ac:dyDescent="0.25">
      <c r="V265" s="141"/>
      <c r="W265" s="141"/>
    </row>
    <row r="266" spans="22:23" s="21" customFormat="1" ht="22.5" customHeight="1" x14ac:dyDescent="0.25">
      <c r="V266" s="141"/>
      <c r="W266" s="141"/>
    </row>
    <row r="267" spans="22:23" s="21" customFormat="1" ht="22.5" customHeight="1" x14ac:dyDescent="0.25">
      <c r="V267" s="141"/>
      <c r="W267" s="141"/>
    </row>
    <row r="268" spans="22:23" s="21" customFormat="1" ht="22.5" customHeight="1" x14ac:dyDescent="0.25">
      <c r="V268" s="141"/>
      <c r="W268" s="141"/>
    </row>
    <row r="269" spans="22:23" s="21" customFormat="1" ht="22.5" customHeight="1" x14ac:dyDescent="0.25">
      <c r="V269" s="141"/>
      <c r="W269" s="141"/>
    </row>
    <row r="270" spans="22:23" s="21" customFormat="1" ht="22.5" customHeight="1" x14ac:dyDescent="0.25">
      <c r="V270" s="141"/>
      <c r="W270" s="141"/>
    </row>
    <row r="271" spans="22:23" s="21" customFormat="1" ht="22.5" customHeight="1" x14ac:dyDescent="0.25">
      <c r="V271" s="141"/>
      <c r="W271" s="141"/>
    </row>
    <row r="272" spans="22:23" s="21" customFormat="1" ht="22.5" customHeight="1" x14ac:dyDescent="0.25">
      <c r="V272" s="141"/>
      <c r="W272" s="141"/>
    </row>
    <row r="273" spans="22:23" s="21" customFormat="1" ht="22.5" customHeight="1" x14ac:dyDescent="0.25">
      <c r="V273" s="141"/>
      <c r="W273" s="141"/>
    </row>
    <row r="274" spans="22:23" s="21" customFormat="1" ht="22.5" customHeight="1" x14ac:dyDescent="0.25">
      <c r="V274" s="141"/>
      <c r="W274" s="141"/>
    </row>
    <row r="275" spans="22:23" s="21" customFormat="1" ht="22.5" customHeight="1" x14ac:dyDescent="0.25">
      <c r="V275" s="141"/>
      <c r="W275" s="141"/>
    </row>
    <row r="276" spans="22:23" s="21" customFormat="1" ht="22.5" customHeight="1" x14ac:dyDescent="0.25">
      <c r="V276" s="141"/>
      <c r="W276" s="141"/>
    </row>
    <row r="277" spans="22:23" s="21" customFormat="1" ht="22.5" customHeight="1" x14ac:dyDescent="0.25">
      <c r="V277" s="141"/>
      <c r="W277" s="141"/>
    </row>
    <row r="278" spans="22:23" s="21" customFormat="1" ht="22.5" customHeight="1" x14ac:dyDescent="0.25">
      <c r="V278" s="141"/>
      <c r="W278" s="141"/>
    </row>
    <row r="279" spans="22:23" s="21" customFormat="1" ht="22.5" customHeight="1" x14ac:dyDescent="0.25">
      <c r="V279" s="141"/>
      <c r="W279" s="141"/>
    </row>
    <row r="280" spans="22:23" s="21" customFormat="1" ht="22.5" customHeight="1" x14ac:dyDescent="0.25">
      <c r="V280" s="141"/>
      <c r="W280" s="141"/>
    </row>
    <row r="281" spans="22:23" s="21" customFormat="1" ht="22.5" customHeight="1" x14ac:dyDescent="0.25">
      <c r="V281" s="141"/>
      <c r="W281" s="141"/>
    </row>
    <row r="282" spans="22:23" s="21" customFormat="1" ht="22.5" customHeight="1" x14ac:dyDescent="0.25">
      <c r="V282" s="141"/>
      <c r="W282" s="141"/>
    </row>
    <row r="283" spans="22:23" s="21" customFormat="1" ht="22.5" customHeight="1" x14ac:dyDescent="0.25">
      <c r="V283" s="141"/>
      <c r="W283" s="141"/>
    </row>
    <row r="284" spans="22:23" s="21" customFormat="1" ht="22.5" customHeight="1" x14ac:dyDescent="0.25">
      <c r="V284" s="141"/>
      <c r="W284" s="141"/>
    </row>
    <row r="285" spans="22:23" s="21" customFormat="1" ht="22.5" customHeight="1" x14ac:dyDescent="0.25">
      <c r="V285" s="141"/>
      <c r="W285" s="141"/>
    </row>
    <row r="286" spans="22:23" s="21" customFormat="1" ht="22.5" customHeight="1" x14ac:dyDescent="0.25">
      <c r="V286" s="141"/>
      <c r="W286" s="141"/>
    </row>
    <row r="287" spans="22:23" s="21" customFormat="1" ht="22.5" customHeight="1" x14ac:dyDescent="0.25">
      <c r="V287" s="141"/>
      <c r="W287" s="141"/>
    </row>
    <row r="288" spans="22:23" s="21" customFormat="1" ht="22.5" customHeight="1" x14ac:dyDescent="0.25">
      <c r="V288" s="141"/>
      <c r="W288" s="141"/>
    </row>
    <row r="289" spans="22:23" s="21" customFormat="1" ht="22.5" customHeight="1" x14ac:dyDescent="0.25">
      <c r="V289" s="141"/>
      <c r="W289" s="141"/>
    </row>
    <row r="290" spans="22:23" s="21" customFormat="1" ht="22.5" customHeight="1" x14ac:dyDescent="0.25">
      <c r="V290" s="141"/>
      <c r="W290" s="141"/>
    </row>
    <row r="291" spans="22:23" s="21" customFormat="1" ht="22.5" customHeight="1" x14ac:dyDescent="0.25">
      <c r="V291" s="141"/>
      <c r="W291" s="141"/>
    </row>
    <row r="292" spans="22:23" s="21" customFormat="1" ht="22.5" customHeight="1" x14ac:dyDescent="0.25">
      <c r="V292" s="141"/>
      <c r="W292" s="141"/>
    </row>
    <row r="293" spans="22:23" s="21" customFormat="1" ht="22.5" customHeight="1" x14ac:dyDescent="0.25">
      <c r="V293" s="141"/>
      <c r="W293" s="141"/>
    </row>
    <row r="294" spans="22:23" s="21" customFormat="1" ht="22.5" customHeight="1" x14ac:dyDescent="0.25">
      <c r="V294" s="141"/>
      <c r="W294" s="141"/>
    </row>
    <row r="295" spans="22:23" s="21" customFormat="1" ht="22.5" customHeight="1" x14ac:dyDescent="0.25">
      <c r="V295" s="141"/>
      <c r="W295" s="141"/>
    </row>
    <row r="296" spans="22:23" s="21" customFormat="1" ht="22.5" customHeight="1" x14ac:dyDescent="0.25">
      <c r="V296" s="141"/>
      <c r="W296" s="141"/>
    </row>
    <row r="297" spans="22:23" s="21" customFormat="1" ht="22.5" customHeight="1" x14ac:dyDescent="0.25">
      <c r="V297" s="141"/>
      <c r="W297" s="141"/>
    </row>
    <row r="298" spans="22:23" s="21" customFormat="1" ht="22.5" customHeight="1" x14ac:dyDescent="0.25">
      <c r="V298" s="141"/>
      <c r="W298" s="141"/>
    </row>
    <row r="299" spans="22:23" s="21" customFormat="1" ht="22.5" customHeight="1" x14ac:dyDescent="0.25">
      <c r="V299" s="141"/>
      <c r="W299" s="141"/>
    </row>
    <row r="300" spans="22:23" s="21" customFormat="1" ht="22.5" customHeight="1" x14ac:dyDescent="0.25">
      <c r="V300" s="141"/>
      <c r="W300" s="141"/>
    </row>
    <row r="301" spans="22:23" s="21" customFormat="1" ht="22.5" customHeight="1" x14ac:dyDescent="0.25">
      <c r="V301" s="141"/>
      <c r="W301" s="141"/>
    </row>
    <row r="302" spans="22:23" s="21" customFormat="1" ht="22.5" customHeight="1" x14ac:dyDescent="0.25">
      <c r="V302" s="141"/>
      <c r="W302" s="141"/>
    </row>
    <row r="303" spans="22:23" s="21" customFormat="1" ht="22.5" customHeight="1" x14ac:dyDescent="0.25">
      <c r="V303" s="141"/>
      <c r="W303" s="141"/>
    </row>
    <row r="304" spans="22:23" s="21" customFormat="1" ht="22.5" customHeight="1" x14ac:dyDescent="0.25">
      <c r="V304" s="141"/>
      <c r="W304" s="141"/>
    </row>
    <row r="305" spans="22:23" s="21" customFormat="1" ht="22.5" customHeight="1" x14ac:dyDescent="0.25">
      <c r="V305" s="141"/>
      <c r="W305" s="141"/>
    </row>
    <row r="306" spans="22:23" s="21" customFormat="1" ht="22.5" customHeight="1" x14ac:dyDescent="0.25">
      <c r="V306" s="141"/>
      <c r="W306" s="141"/>
    </row>
    <row r="307" spans="22:23" s="21" customFormat="1" ht="22.5" customHeight="1" x14ac:dyDescent="0.25">
      <c r="V307" s="141"/>
      <c r="W307" s="141"/>
    </row>
    <row r="308" spans="22:23" s="21" customFormat="1" ht="22.5" customHeight="1" x14ac:dyDescent="0.25">
      <c r="V308" s="141"/>
      <c r="W308" s="141"/>
    </row>
    <row r="309" spans="22:23" s="21" customFormat="1" ht="22.5" customHeight="1" x14ac:dyDescent="0.25">
      <c r="V309" s="141"/>
      <c r="W309" s="141"/>
    </row>
    <row r="310" spans="22:23" s="21" customFormat="1" ht="22.5" customHeight="1" x14ac:dyDescent="0.25">
      <c r="V310" s="141"/>
      <c r="W310" s="141"/>
    </row>
    <row r="311" spans="22:23" s="21" customFormat="1" ht="22.5" customHeight="1" x14ac:dyDescent="0.25">
      <c r="V311" s="141"/>
      <c r="W311" s="141"/>
    </row>
    <row r="312" spans="22:23" s="21" customFormat="1" ht="22.5" customHeight="1" x14ac:dyDescent="0.25">
      <c r="V312" s="141"/>
      <c r="W312" s="141"/>
    </row>
    <row r="313" spans="22:23" s="21" customFormat="1" ht="22.5" customHeight="1" x14ac:dyDescent="0.25">
      <c r="V313" s="141"/>
      <c r="W313" s="141"/>
    </row>
    <row r="314" spans="22:23" s="21" customFormat="1" ht="22.5" customHeight="1" x14ac:dyDescent="0.25">
      <c r="V314" s="141"/>
      <c r="W314" s="141"/>
    </row>
    <row r="315" spans="22:23" s="21" customFormat="1" ht="22.5" customHeight="1" x14ac:dyDescent="0.25">
      <c r="V315" s="141"/>
      <c r="W315" s="141"/>
    </row>
    <row r="316" spans="22:23" s="21" customFormat="1" ht="22.5" customHeight="1" x14ac:dyDescent="0.25">
      <c r="V316" s="141"/>
      <c r="W316" s="141"/>
    </row>
    <row r="317" spans="22:23" s="21" customFormat="1" ht="22.5" customHeight="1" x14ac:dyDescent="0.25">
      <c r="V317" s="141"/>
      <c r="W317" s="141"/>
    </row>
    <row r="318" spans="22:23" s="21" customFormat="1" ht="22.5" customHeight="1" x14ac:dyDescent="0.25">
      <c r="V318" s="141"/>
      <c r="W318" s="141"/>
    </row>
    <row r="319" spans="22:23" s="21" customFormat="1" ht="22.5" customHeight="1" x14ac:dyDescent="0.25">
      <c r="V319" s="141"/>
      <c r="W319" s="141"/>
    </row>
    <row r="320" spans="22:23" s="21" customFormat="1" ht="22.5" customHeight="1" x14ac:dyDescent="0.25">
      <c r="V320" s="141"/>
      <c r="W320" s="141"/>
    </row>
    <row r="321" spans="22:23" s="21" customFormat="1" ht="22.5" customHeight="1" x14ac:dyDescent="0.25">
      <c r="V321" s="141"/>
      <c r="W321" s="141"/>
    </row>
    <row r="322" spans="22:23" s="21" customFormat="1" ht="22.5" customHeight="1" x14ac:dyDescent="0.25">
      <c r="V322" s="141"/>
      <c r="W322" s="141"/>
    </row>
    <row r="323" spans="22:23" s="21" customFormat="1" ht="22.5" customHeight="1" x14ac:dyDescent="0.25">
      <c r="V323" s="141"/>
      <c r="W323" s="141"/>
    </row>
    <row r="324" spans="22:23" s="21" customFormat="1" ht="22.5" customHeight="1" x14ac:dyDescent="0.25">
      <c r="V324" s="141"/>
      <c r="W324" s="141"/>
    </row>
    <row r="325" spans="22:23" s="21" customFormat="1" ht="22.5" customHeight="1" x14ac:dyDescent="0.25">
      <c r="V325" s="141"/>
      <c r="W325" s="141"/>
    </row>
    <row r="326" spans="22:23" s="21" customFormat="1" ht="22.5" customHeight="1" x14ac:dyDescent="0.25">
      <c r="V326" s="141"/>
      <c r="W326" s="141"/>
    </row>
    <row r="327" spans="22:23" s="21" customFormat="1" ht="22.5" customHeight="1" x14ac:dyDescent="0.25">
      <c r="V327" s="141"/>
      <c r="W327" s="141"/>
    </row>
    <row r="328" spans="22:23" s="21" customFormat="1" ht="22.5" customHeight="1" x14ac:dyDescent="0.25">
      <c r="V328" s="141"/>
      <c r="W328" s="141"/>
    </row>
    <row r="329" spans="22:23" s="21" customFormat="1" ht="22.5" customHeight="1" x14ac:dyDescent="0.25">
      <c r="V329" s="141"/>
      <c r="W329" s="141"/>
    </row>
    <row r="330" spans="22:23" s="21" customFormat="1" ht="22.5" customHeight="1" x14ac:dyDescent="0.25">
      <c r="V330" s="141"/>
      <c r="W330" s="141"/>
    </row>
    <row r="331" spans="22:23" s="21" customFormat="1" ht="22.5" customHeight="1" x14ac:dyDescent="0.25">
      <c r="V331" s="141"/>
      <c r="W331" s="141"/>
    </row>
    <row r="332" spans="22:23" s="21" customFormat="1" ht="22.5" customHeight="1" x14ac:dyDescent="0.25">
      <c r="V332" s="141"/>
      <c r="W332" s="141"/>
    </row>
    <row r="333" spans="22:23" s="21" customFormat="1" ht="22.5" customHeight="1" x14ac:dyDescent="0.25">
      <c r="V333" s="141"/>
      <c r="W333" s="141"/>
    </row>
    <row r="334" spans="22:23" s="21" customFormat="1" ht="22.5" customHeight="1" x14ac:dyDescent="0.25">
      <c r="V334" s="141"/>
      <c r="W334" s="141"/>
    </row>
    <row r="335" spans="22:23" s="21" customFormat="1" ht="22.5" customHeight="1" x14ac:dyDescent="0.25">
      <c r="V335" s="141"/>
      <c r="W335" s="141"/>
    </row>
    <row r="336" spans="22:23" s="21" customFormat="1" ht="22.5" customHeight="1" x14ac:dyDescent="0.25">
      <c r="V336" s="141"/>
      <c r="W336" s="141"/>
    </row>
    <row r="337" spans="22:23" s="21" customFormat="1" ht="22.5" customHeight="1" x14ac:dyDescent="0.25">
      <c r="V337" s="141"/>
      <c r="W337" s="141"/>
    </row>
    <row r="338" spans="22:23" s="21" customFormat="1" ht="22.5" customHeight="1" x14ac:dyDescent="0.25">
      <c r="V338" s="141"/>
      <c r="W338" s="141"/>
    </row>
    <row r="339" spans="22:23" s="21" customFormat="1" ht="22.5" customHeight="1" x14ac:dyDescent="0.25">
      <c r="V339" s="141"/>
      <c r="W339" s="141"/>
    </row>
    <row r="340" spans="22:23" s="21" customFormat="1" ht="22.5" customHeight="1" x14ac:dyDescent="0.25">
      <c r="V340" s="141"/>
      <c r="W340" s="141"/>
    </row>
    <row r="341" spans="22:23" s="21" customFormat="1" ht="22.5" customHeight="1" x14ac:dyDescent="0.25">
      <c r="V341" s="141"/>
      <c r="W341" s="141"/>
    </row>
    <row r="342" spans="22:23" s="21" customFormat="1" ht="22.5" customHeight="1" x14ac:dyDescent="0.25">
      <c r="V342" s="141"/>
      <c r="W342" s="141"/>
    </row>
    <row r="343" spans="22:23" s="21" customFormat="1" ht="22.5" customHeight="1" x14ac:dyDescent="0.25">
      <c r="V343" s="141"/>
      <c r="W343" s="141"/>
    </row>
    <row r="344" spans="22:23" s="21" customFormat="1" ht="22.5" customHeight="1" x14ac:dyDescent="0.25">
      <c r="V344" s="141"/>
      <c r="W344" s="141"/>
    </row>
    <row r="345" spans="22:23" s="21" customFormat="1" ht="22.5" customHeight="1" x14ac:dyDescent="0.25">
      <c r="V345" s="141"/>
      <c r="W345" s="141"/>
    </row>
    <row r="346" spans="22:23" s="21" customFormat="1" ht="22.5" customHeight="1" x14ac:dyDescent="0.25">
      <c r="V346" s="141"/>
      <c r="W346" s="141"/>
    </row>
    <row r="347" spans="22:23" s="21" customFormat="1" ht="22.5" customHeight="1" x14ac:dyDescent="0.25">
      <c r="V347" s="141"/>
      <c r="W347" s="141"/>
    </row>
    <row r="348" spans="22:23" s="21" customFormat="1" ht="22.5" customHeight="1" x14ac:dyDescent="0.25">
      <c r="V348" s="141"/>
      <c r="W348" s="141"/>
    </row>
    <row r="349" spans="22:23" s="21" customFormat="1" ht="22.5" customHeight="1" x14ac:dyDescent="0.25">
      <c r="V349" s="141"/>
      <c r="W349" s="141"/>
    </row>
    <row r="350" spans="22:23" s="21" customFormat="1" ht="22.5" customHeight="1" x14ac:dyDescent="0.25">
      <c r="V350" s="141"/>
      <c r="W350" s="141"/>
    </row>
    <row r="351" spans="22:23" s="21" customFormat="1" ht="22.5" customHeight="1" x14ac:dyDescent="0.25">
      <c r="V351" s="141"/>
      <c r="W351" s="141"/>
    </row>
    <row r="352" spans="22:23" s="21" customFormat="1" ht="22.5" customHeight="1" x14ac:dyDescent="0.25">
      <c r="V352" s="141"/>
      <c r="W352" s="141"/>
    </row>
    <row r="353" spans="22:23" s="21" customFormat="1" ht="22.5" customHeight="1" x14ac:dyDescent="0.25">
      <c r="V353" s="141"/>
      <c r="W353" s="141"/>
    </row>
    <row r="354" spans="22:23" s="21" customFormat="1" ht="22.5" customHeight="1" x14ac:dyDescent="0.25">
      <c r="V354" s="141"/>
      <c r="W354" s="141"/>
    </row>
    <row r="355" spans="22:23" s="21" customFormat="1" ht="22.5" customHeight="1" x14ac:dyDescent="0.25">
      <c r="V355" s="141"/>
      <c r="W355" s="141"/>
    </row>
    <row r="356" spans="22:23" s="21" customFormat="1" ht="22.5" customHeight="1" x14ac:dyDescent="0.25">
      <c r="V356" s="141"/>
      <c r="W356" s="141"/>
    </row>
    <row r="357" spans="22:23" s="21" customFormat="1" ht="22.5" customHeight="1" x14ac:dyDescent="0.25">
      <c r="V357" s="141"/>
      <c r="W357" s="141"/>
    </row>
    <row r="358" spans="22:23" s="21" customFormat="1" ht="22.5" customHeight="1" x14ac:dyDescent="0.25">
      <c r="V358" s="141"/>
      <c r="W358" s="141"/>
    </row>
    <row r="359" spans="22:23" s="21" customFormat="1" ht="22.5" customHeight="1" x14ac:dyDescent="0.25">
      <c r="V359" s="141"/>
      <c r="W359" s="141"/>
    </row>
    <row r="360" spans="22:23" s="21" customFormat="1" ht="22.5" customHeight="1" x14ac:dyDescent="0.25">
      <c r="V360" s="141"/>
      <c r="W360" s="141"/>
    </row>
    <row r="361" spans="22:23" s="21" customFormat="1" ht="22.5" customHeight="1" x14ac:dyDescent="0.25">
      <c r="V361" s="141"/>
      <c r="W361" s="141"/>
    </row>
    <row r="362" spans="22:23" s="21" customFormat="1" ht="22.5" customHeight="1" x14ac:dyDescent="0.25">
      <c r="V362" s="141"/>
      <c r="W362" s="141"/>
    </row>
    <row r="363" spans="22:23" s="21" customFormat="1" ht="22.5" customHeight="1" x14ac:dyDescent="0.25">
      <c r="V363" s="141"/>
      <c r="W363" s="141"/>
    </row>
    <row r="364" spans="22:23" s="21" customFormat="1" ht="22.5" customHeight="1" x14ac:dyDescent="0.25">
      <c r="V364" s="141"/>
      <c r="W364" s="141"/>
    </row>
    <row r="365" spans="22:23" s="21" customFormat="1" ht="22.5" customHeight="1" x14ac:dyDescent="0.25">
      <c r="V365" s="141"/>
      <c r="W365" s="141"/>
    </row>
    <row r="366" spans="22:23" s="21" customFormat="1" ht="22.5" customHeight="1" x14ac:dyDescent="0.25">
      <c r="V366" s="141"/>
      <c r="W366" s="141"/>
    </row>
    <row r="367" spans="22:23" s="21" customFormat="1" ht="22.5" customHeight="1" x14ac:dyDescent="0.25">
      <c r="V367" s="141"/>
      <c r="W367" s="141"/>
    </row>
    <row r="368" spans="22:23" s="21" customFormat="1" ht="22.5" customHeight="1" x14ac:dyDescent="0.25">
      <c r="V368" s="141"/>
      <c r="W368" s="141"/>
    </row>
    <row r="369" spans="22:23" s="21" customFormat="1" ht="22.5" customHeight="1" x14ac:dyDescent="0.25">
      <c r="V369" s="141"/>
      <c r="W369" s="141"/>
    </row>
    <row r="370" spans="22:23" s="21" customFormat="1" ht="22.5" customHeight="1" x14ac:dyDescent="0.25">
      <c r="V370" s="141"/>
      <c r="W370" s="141"/>
    </row>
    <row r="371" spans="22:23" s="21" customFormat="1" ht="22.5" customHeight="1" x14ac:dyDescent="0.25">
      <c r="V371" s="141"/>
      <c r="W371" s="141"/>
    </row>
    <row r="372" spans="22:23" s="21" customFormat="1" ht="22.5" customHeight="1" x14ac:dyDescent="0.25">
      <c r="V372" s="141"/>
      <c r="W372" s="141"/>
    </row>
    <row r="373" spans="22:23" s="21" customFormat="1" ht="22.5" customHeight="1" x14ac:dyDescent="0.25">
      <c r="V373" s="141"/>
      <c r="W373" s="141"/>
    </row>
    <row r="374" spans="22:23" s="21" customFormat="1" ht="22.5" customHeight="1" x14ac:dyDescent="0.25">
      <c r="V374" s="141"/>
      <c r="W374" s="141"/>
    </row>
    <row r="375" spans="22:23" s="21" customFormat="1" ht="22.5" customHeight="1" x14ac:dyDescent="0.25">
      <c r="V375" s="141"/>
      <c r="W375" s="141"/>
    </row>
    <row r="376" spans="22:23" s="21" customFormat="1" ht="22.5" customHeight="1" x14ac:dyDescent="0.25">
      <c r="V376" s="141"/>
      <c r="W376" s="141"/>
    </row>
    <row r="377" spans="22:23" s="21" customFormat="1" ht="22.5" customHeight="1" x14ac:dyDescent="0.25">
      <c r="V377" s="141"/>
      <c r="W377" s="141"/>
    </row>
    <row r="378" spans="22:23" s="21" customFormat="1" ht="22.5" customHeight="1" x14ac:dyDescent="0.25">
      <c r="V378" s="141"/>
      <c r="W378" s="141"/>
    </row>
    <row r="379" spans="22:23" s="21" customFormat="1" ht="22.5" customHeight="1" x14ac:dyDescent="0.25">
      <c r="V379" s="141"/>
      <c r="W379" s="141"/>
    </row>
    <row r="380" spans="22:23" s="21" customFormat="1" ht="22.5" customHeight="1" x14ac:dyDescent="0.25">
      <c r="V380" s="141"/>
      <c r="W380" s="141"/>
    </row>
    <row r="381" spans="22:23" s="21" customFormat="1" ht="22.5" customHeight="1" x14ac:dyDescent="0.25">
      <c r="V381" s="141"/>
      <c r="W381" s="141"/>
    </row>
    <row r="382" spans="22:23" s="21" customFormat="1" ht="22.5" customHeight="1" x14ac:dyDescent="0.25">
      <c r="V382" s="141"/>
      <c r="W382" s="141"/>
    </row>
    <row r="383" spans="22:23" s="21" customFormat="1" ht="22.5" customHeight="1" x14ac:dyDescent="0.25">
      <c r="V383" s="141"/>
      <c r="W383" s="141"/>
    </row>
    <row r="384" spans="22:23" s="21" customFormat="1" ht="22.5" customHeight="1" x14ac:dyDescent="0.25">
      <c r="V384" s="141"/>
      <c r="W384" s="141"/>
    </row>
    <row r="385" spans="22:23" s="21" customFormat="1" ht="22.5" customHeight="1" x14ac:dyDescent="0.25">
      <c r="V385" s="141"/>
      <c r="W385" s="141"/>
    </row>
    <row r="386" spans="22:23" s="21" customFormat="1" ht="22.5" customHeight="1" x14ac:dyDescent="0.25">
      <c r="V386" s="141"/>
      <c r="W386" s="141"/>
    </row>
    <row r="387" spans="22:23" s="21" customFormat="1" ht="22.5" customHeight="1" x14ac:dyDescent="0.25">
      <c r="V387" s="141"/>
      <c r="W387" s="141"/>
    </row>
    <row r="388" spans="22:23" s="21" customFormat="1" ht="22.5" customHeight="1" x14ac:dyDescent="0.25">
      <c r="V388" s="141"/>
      <c r="W388" s="141"/>
    </row>
    <row r="389" spans="22:23" s="21" customFormat="1" ht="22.5" customHeight="1" x14ac:dyDescent="0.25">
      <c r="V389" s="141"/>
      <c r="W389" s="141"/>
    </row>
    <row r="390" spans="22:23" s="21" customFormat="1" ht="22.5" customHeight="1" x14ac:dyDescent="0.25">
      <c r="V390" s="141"/>
      <c r="W390" s="141"/>
    </row>
    <row r="391" spans="22:23" s="21" customFormat="1" ht="22.5" customHeight="1" x14ac:dyDescent="0.25">
      <c r="V391" s="141"/>
      <c r="W391" s="141"/>
    </row>
    <row r="392" spans="22:23" s="21" customFormat="1" ht="22.5" customHeight="1" x14ac:dyDescent="0.25">
      <c r="V392" s="141"/>
      <c r="W392" s="141"/>
    </row>
    <row r="393" spans="22:23" s="21" customFormat="1" ht="22.5" customHeight="1" x14ac:dyDescent="0.25">
      <c r="V393" s="141"/>
      <c r="W393" s="141"/>
    </row>
    <row r="394" spans="22:23" s="21" customFormat="1" ht="22.5" customHeight="1" x14ac:dyDescent="0.25">
      <c r="V394" s="141"/>
      <c r="W394" s="141"/>
    </row>
    <row r="395" spans="22:23" s="21" customFormat="1" ht="22.5" customHeight="1" x14ac:dyDescent="0.25">
      <c r="V395" s="141"/>
      <c r="W395" s="141"/>
    </row>
    <row r="396" spans="22:23" s="21" customFormat="1" ht="22.5" customHeight="1" x14ac:dyDescent="0.25">
      <c r="V396" s="141"/>
      <c r="W396" s="141"/>
    </row>
    <row r="397" spans="22:23" s="21" customFormat="1" ht="22.5" customHeight="1" x14ac:dyDescent="0.25">
      <c r="V397" s="141"/>
      <c r="W397" s="141"/>
    </row>
    <row r="398" spans="22:23" s="21" customFormat="1" ht="22.5" customHeight="1" x14ac:dyDescent="0.25">
      <c r="V398" s="141"/>
      <c r="W398" s="141"/>
    </row>
    <row r="399" spans="22:23" s="21" customFormat="1" ht="22.5" customHeight="1" x14ac:dyDescent="0.25">
      <c r="V399" s="141"/>
      <c r="W399" s="141"/>
    </row>
    <row r="400" spans="22:23" s="21" customFormat="1" ht="22.5" customHeight="1" x14ac:dyDescent="0.25">
      <c r="V400" s="141"/>
      <c r="W400" s="141"/>
    </row>
    <row r="401" spans="22:23" s="21" customFormat="1" ht="22.5" customHeight="1" x14ac:dyDescent="0.25">
      <c r="V401" s="141"/>
      <c r="W401" s="141"/>
    </row>
    <row r="402" spans="22:23" s="21" customFormat="1" ht="22.5" customHeight="1" x14ac:dyDescent="0.25">
      <c r="V402" s="141"/>
      <c r="W402" s="141"/>
    </row>
    <row r="403" spans="22:23" s="21" customFormat="1" ht="22.5" customHeight="1" x14ac:dyDescent="0.25">
      <c r="V403" s="141"/>
      <c r="W403" s="141"/>
    </row>
    <row r="404" spans="22:23" s="21" customFormat="1" ht="22.5" customHeight="1" x14ac:dyDescent="0.25">
      <c r="V404" s="141"/>
      <c r="W404" s="141"/>
    </row>
    <row r="405" spans="22:23" s="21" customFormat="1" ht="22.5" customHeight="1" x14ac:dyDescent="0.25">
      <c r="V405" s="141"/>
      <c r="W405" s="141"/>
    </row>
    <row r="406" spans="22:23" s="21" customFormat="1" ht="22.5" customHeight="1" x14ac:dyDescent="0.25">
      <c r="V406" s="141"/>
      <c r="W406" s="141"/>
    </row>
    <row r="407" spans="22:23" s="21" customFormat="1" ht="22.5" customHeight="1" x14ac:dyDescent="0.25">
      <c r="V407" s="141"/>
      <c r="W407" s="141"/>
    </row>
    <row r="408" spans="22:23" s="21" customFormat="1" ht="22.5" customHeight="1" x14ac:dyDescent="0.25">
      <c r="V408" s="141"/>
      <c r="W408" s="141"/>
    </row>
    <row r="409" spans="22:23" s="21" customFormat="1" ht="22.5" customHeight="1" x14ac:dyDescent="0.25">
      <c r="V409" s="141"/>
      <c r="W409" s="141"/>
    </row>
    <row r="410" spans="22:23" s="21" customFormat="1" ht="22.5" customHeight="1" x14ac:dyDescent="0.25">
      <c r="V410" s="141"/>
      <c r="W410" s="141"/>
    </row>
    <row r="411" spans="22:23" s="21" customFormat="1" ht="22.5" customHeight="1" x14ac:dyDescent="0.25">
      <c r="V411" s="141"/>
      <c r="W411" s="141"/>
    </row>
    <row r="412" spans="22:23" s="21" customFormat="1" ht="22.5" customHeight="1" x14ac:dyDescent="0.25">
      <c r="V412" s="141"/>
      <c r="W412" s="141"/>
    </row>
    <row r="413" spans="22:23" s="21" customFormat="1" ht="22.5" customHeight="1" x14ac:dyDescent="0.25">
      <c r="V413" s="141"/>
      <c r="W413" s="141"/>
    </row>
    <row r="414" spans="22:23" s="21" customFormat="1" ht="22.5" customHeight="1" x14ac:dyDescent="0.25">
      <c r="V414" s="141"/>
      <c r="W414" s="141"/>
    </row>
    <row r="415" spans="22:23" s="21" customFormat="1" ht="22.5" customHeight="1" x14ac:dyDescent="0.25">
      <c r="V415" s="141"/>
      <c r="W415" s="141"/>
    </row>
    <row r="416" spans="22:23" s="21" customFormat="1" ht="22.5" customHeight="1" x14ac:dyDescent="0.25">
      <c r="V416" s="141"/>
      <c r="W416" s="141"/>
    </row>
    <row r="417" spans="22:23" s="21" customFormat="1" ht="22.5" customHeight="1" x14ac:dyDescent="0.25">
      <c r="V417" s="141"/>
      <c r="W417" s="141"/>
    </row>
    <row r="418" spans="22:23" s="21" customFormat="1" ht="22.5" customHeight="1" x14ac:dyDescent="0.25">
      <c r="V418" s="141"/>
      <c r="W418" s="141"/>
    </row>
    <row r="419" spans="22:23" s="21" customFormat="1" ht="22.5" customHeight="1" x14ac:dyDescent="0.25">
      <c r="V419" s="141"/>
      <c r="W419" s="141"/>
    </row>
    <row r="420" spans="22:23" s="21" customFormat="1" ht="22.5" customHeight="1" x14ac:dyDescent="0.25">
      <c r="V420" s="141"/>
      <c r="W420" s="141"/>
    </row>
    <row r="421" spans="22:23" s="21" customFormat="1" ht="22.5" customHeight="1" x14ac:dyDescent="0.25">
      <c r="V421" s="141"/>
      <c r="W421" s="141"/>
    </row>
    <row r="422" spans="22:23" s="21" customFormat="1" ht="22.5" customHeight="1" x14ac:dyDescent="0.25">
      <c r="V422" s="141"/>
      <c r="W422" s="141"/>
    </row>
    <row r="423" spans="22:23" s="21" customFormat="1" ht="22.5" customHeight="1" x14ac:dyDescent="0.25">
      <c r="V423" s="141"/>
      <c r="W423" s="141"/>
    </row>
    <row r="424" spans="22:23" s="21" customFormat="1" ht="22.5" customHeight="1" x14ac:dyDescent="0.25">
      <c r="V424" s="141"/>
      <c r="W424" s="141"/>
    </row>
    <row r="425" spans="22:23" s="21" customFormat="1" ht="22.5" customHeight="1" x14ac:dyDescent="0.25">
      <c r="V425" s="141"/>
      <c r="W425" s="141"/>
    </row>
    <row r="426" spans="22:23" s="21" customFormat="1" ht="22.5" customHeight="1" x14ac:dyDescent="0.25">
      <c r="V426" s="141"/>
      <c r="W426" s="141"/>
    </row>
    <row r="427" spans="22:23" s="21" customFormat="1" ht="22.5" customHeight="1" x14ac:dyDescent="0.25">
      <c r="V427" s="141"/>
      <c r="W427" s="141"/>
    </row>
    <row r="428" spans="22:23" s="21" customFormat="1" ht="22.5" customHeight="1" x14ac:dyDescent="0.25">
      <c r="V428" s="141"/>
      <c r="W428" s="141"/>
    </row>
    <row r="429" spans="22:23" s="21" customFormat="1" ht="22.5" customHeight="1" x14ac:dyDescent="0.25">
      <c r="V429" s="141"/>
      <c r="W429" s="141"/>
    </row>
    <row r="430" spans="22:23" s="21" customFormat="1" ht="22.5" customHeight="1" x14ac:dyDescent="0.25">
      <c r="V430" s="141"/>
      <c r="W430" s="141"/>
    </row>
    <row r="431" spans="22:23" s="21" customFormat="1" ht="22.5" customHeight="1" x14ac:dyDescent="0.25">
      <c r="V431" s="141"/>
      <c r="W431" s="141"/>
    </row>
    <row r="432" spans="22:23" s="21" customFormat="1" ht="22.5" customHeight="1" x14ac:dyDescent="0.25">
      <c r="V432" s="141"/>
      <c r="W432" s="141"/>
    </row>
    <row r="433" spans="22:23" s="21" customFormat="1" ht="22.5" customHeight="1" x14ac:dyDescent="0.25">
      <c r="V433" s="141"/>
      <c r="W433" s="141"/>
    </row>
    <row r="434" spans="22:23" s="21" customFormat="1" ht="22.5" customHeight="1" x14ac:dyDescent="0.25">
      <c r="V434" s="141"/>
      <c r="W434" s="141"/>
    </row>
    <row r="435" spans="22:23" s="21" customFormat="1" ht="22.5" customHeight="1" x14ac:dyDescent="0.25">
      <c r="V435" s="141"/>
      <c r="W435" s="141"/>
    </row>
    <row r="436" spans="22:23" s="21" customFormat="1" ht="22.5" customHeight="1" x14ac:dyDescent="0.25">
      <c r="V436" s="141"/>
      <c r="W436" s="141"/>
    </row>
    <row r="437" spans="22:23" s="21" customFormat="1" ht="22.5" customHeight="1" x14ac:dyDescent="0.25">
      <c r="V437" s="141"/>
      <c r="W437" s="141"/>
    </row>
    <row r="438" spans="22:23" s="21" customFormat="1" ht="22.5" customHeight="1" x14ac:dyDescent="0.25">
      <c r="V438" s="141"/>
      <c r="W438" s="141"/>
    </row>
    <row r="439" spans="22:23" s="21" customFormat="1" ht="22.5" customHeight="1" x14ac:dyDescent="0.25">
      <c r="V439" s="141"/>
      <c r="W439" s="141"/>
    </row>
    <row r="440" spans="22:23" s="21" customFormat="1" ht="22.5" customHeight="1" x14ac:dyDescent="0.25">
      <c r="V440" s="141"/>
      <c r="W440" s="141"/>
    </row>
    <row r="441" spans="22:23" s="21" customFormat="1" ht="22.5" customHeight="1" x14ac:dyDescent="0.25">
      <c r="V441" s="141"/>
      <c r="W441" s="141"/>
    </row>
    <row r="442" spans="22:23" s="21" customFormat="1" ht="22.5" customHeight="1" x14ac:dyDescent="0.25">
      <c r="V442" s="141"/>
      <c r="W442" s="141"/>
    </row>
    <row r="443" spans="22:23" s="21" customFormat="1" ht="22.5" customHeight="1" x14ac:dyDescent="0.25">
      <c r="V443" s="141"/>
      <c r="W443" s="141"/>
    </row>
    <row r="444" spans="22:23" s="21" customFormat="1" ht="22.5" customHeight="1" x14ac:dyDescent="0.25">
      <c r="V444" s="141"/>
      <c r="W444" s="141"/>
    </row>
    <row r="445" spans="22:23" s="21" customFormat="1" ht="22.5" customHeight="1" x14ac:dyDescent="0.25">
      <c r="V445" s="141"/>
      <c r="W445" s="141"/>
    </row>
    <row r="446" spans="22:23" s="21" customFormat="1" ht="22.5" customHeight="1" x14ac:dyDescent="0.25">
      <c r="V446" s="141"/>
      <c r="W446" s="141"/>
    </row>
    <row r="447" spans="22:23" s="21" customFormat="1" ht="22.5" customHeight="1" x14ac:dyDescent="0.25">
      <c r="V447" s="141"/>
      <c r="W447" s="141"/>
    </row>
    <row r="448" spans="22:23" s="21" customFormat="1" ht="22.5" customHeight="1" x14ac:dyDescent="0.25">
      <c r="V448" s="141"/>
      <c r="W448" s="141"/>
    </row>
    <row r="449" spans="22:23" s="21" customFormat="1" ht="22.5" customHeight="1" x14ac:dyDescent="0.25">
      <c r="V449" s="141"/>
      <c r="W449" s="141"/>
    </row>
    <row r="450" spans="22:23" s="21" customFormat="1" ht="22.5" customHeight="1" x14ac:dyDescent="0.25">
      <c r="V450" s="141"/>
      <c r="W450" s="141"/>
    </row>
    <row r="451" spans="22:23" s="21" customFormat="1" ht="22.5" customHeight="1" x14ac:dyDescent="0.25">
      <c r="V451" s="141"/>
      <c r="W451" s="141"/>
    </row>
    <row r="452" spans="22:23" s="21" customFormat="1" ht="22.5" customHeight="1" x14ac:dyDescent="0.25">
      <c r="V452" s="141"/>
      <c r="W452" s="141"/>
    </row>
    <row r="453" spans="22:23" s="21" customFormat="1" ht="22.5" customHeight="1" x14ac:dyDescent="0.25">
      <c r="V453" s="141"/>
      <c r="W453" s="141"/>
    </row>
    <row r="454" spans="22:23" s="21" customFormat="1" ht="22.5" customHeight="1" x14ac:dyDescent="0.25">
      <c r="V454" s="141"/>
      <c r="W454" s="141"/>
    </row>
    <row r="455" spans="22:23" s="21" customFormat="1" ht="22.5" customHeight="1" x14ac:dyDescent="0.25">
      <c r="V455" s="141"/>
      <c r="W455" s="141"/>
    </row>
    <row r="456" spans="22:23" s="21" customFormat="1" ht="22.5" customHeight="1" x14ac:dyDescent="0.25">
      <c r="V456" s="141"/>
      <c r="W456" s="141"/>
    </row>
    <row r="457" spans="22:23" s="21" customFormat="1" ht="22.5" customHeight="1" x14ac:dyDescent="0.25">
      <c r="V457" s="141"/>
      <c r="W457" s="141"/>
    </row>
    <row r="458" spans="22:23" s="21" customFormat="1" ht="22.5" customHeight="1" x14ac:dyDescent="0.25">
      <c r="V458" s="141"/>
      <c r="W458" s="141"/>
    </row>
    <row r="459" spans="22:23" s="21" customFormat="1" ht="22.5" customHeight="1" x14ac:dyDescent="0.25">
      <c r="V459" s="141"/>
      <c r="W459" s="141"/>
    </row>
    <row r="460" spans="22:23" s="21" customFormat="1" ht="22.5" customHeight="1" x14ac:dyDescent="0.25">
      <c r="V460" s="141"/>
      <c r="W460" s="141"/>
    </row>
    <row r="461" spans="22:23" s="21" customFormat="1" ht="22.5" customHeight="1" x14ac:dyDescent="0.25">
      <c r="V461" s="141"/>
      <c r="W461" s="141"/>
    </row>
    <row r="462" spans="22:23" s="21" customFormat="1" ht="22.5" customHeight="1" x14ac:dyDescent="0.25">
      <c r="V462" s="141"/>
      <c r="W462" s="141"/>
    </row>
    <row r="463" spans="22:23" s="21" customFormat="1" ht="22.5" customHeight="1" x14ac:dyDescent="0.25">
      <c r="V463" s="141"/>
      <c r="W463" s="141"/>
    </row>
    <row r="464" spans="22:23" s="21" customFormat="1" ht="22.5" customHeight="1" x14ac:dyDescent="0.25">
      <c r="V464" s="141"/>
      <c r="W464" s="141"/>
    </row>
    <row r="465" spans="22:23" s="21" customFormat="1" ht="22.5" customHeight="1" x14ac:dyDescent="0.25">
      <c r="V465" s="141"/>
      <c r="W465" s="141"/>
    </row>
    <row r="466" spans="22:23" s="21" customFormat="1" ht="22.5" customHeight="1" x14ac:dyDescent="0.25">
      <c r="V466" s="141"/>
      <c r="W466" s="141"/>
    </row>
    <row r="467" spans="22:23" s="21" customFormat="1" ht="22.5" customHeight="1" x14ac:dyDescent="0.25">
      <c r="V467" s="141"/>
      <c r="W467" s="141"/>
    </row>
    <row r="468" spans="22:23" s="21" customFormat="1" ht="22.5" customHeight="1" x14ac:dyDescent="0.25">
      <c r="V468" s="141"/>
      <c r="W468" s="141"/>
    </row>
    <row r="469" spans="22:23" s="21" customFormat="1" ht="22.5" customHeight="1" x14ac:dyDescent="0.25">
      <c r="V469" s="141"/>
      <c r="W469" s="141"/>
    </row>
    <row r="470" spans="22:23" s="21" customFormat="1" ht="22.5" customHeight="1" x14ac:dyDescent="0.25">
      <c r="V470" s="141"/>
      <c r="W470" s="141"/>
    </row>
    <row r="471" spans="22:23" s="21" customFormat="1" ht="22.5" customHeight="1" x14ac:dyDescent="0.25">
      <c r="V471" s="141"/>
      <c r="W471" s="141"/>
    </row>
    <row r="472" spans="22:23" s="21" customFormat="1" ht="22.5" customHeight="1" x14ac:dyDescent="0.25">
      <c r="V472" s="141"/>
      <c r="W472" s="141"/>
    </row>
    <row r="473" spans="22:23" s="21" customFormat="1" ht="22.5" customHeight="1" x14ac:dyDescent="0.25">
      <c r="V473" s="141"/>
      <c r="W473" s="141"/>
    </row>
    <row r="474" spans="22:23" s="21" customFormat="1" ht="22.5" customHeight="1" x14ac:dyDescent="0.25">
      <c r="V474" s="141"/>
      <c r="W474" s="141"/>
    </row>
    <row r="475" spans="22:23" s="21" customFormat="1" ht="22.5" customHeight="1" x14ac:dyDescent="0.25">
      <c r="V475" s="141"/>
      <c r="W475" s="141"/>
    </row>
    <row r="476" spans="22:23" s="21" customFormat="1" ht="22.5" customHeight="1" x14ac:dyDescent="0.25">
      <c r="V476" s="141"/>
      <c r="W476" s="141"/>
    </row>
    <row r="477" spans="22:23" s="21" customFormat="1" ht="22.5" customHeight="1" x14ac:dyDescent="0.25">
      <c r="V477" s="141"/>
      <c r="W477" s="141"/>
    </row>
    <row r="478" spans="22:23" s="21" customFormat="1" ht="22.5" customHeight="1" x14ac:dyDescent="0.25">
      <c r="V478" s="141"/>
      <c r="W478" s="141"/>
    </row>
    <row r="479" spans="22:23" s="21" customFormat="1" ht="22.5" customHeight="1" x14ac:dyDescent="0.25">
      <c r="V479" s="141"/>
      <c r="W479" s="141"/>
    </row>
    <row r="480" spans="22:23" s="21" customFormat="1" ht="22.5" customHeight="1" x14ac:dyDescent="0.25">
      <c r="V480" s="141"/>
      <c r="W480" s="141"/>
    </row>
    <row r="481" spans="22:23" s="21" customFormat="1" ht="22.5" customHeight="1" x14ac:dyDescent="0.25">
      <c r="V481" s="141"/>
      <c r="W481" s="141"/>
    </row>
    <row r="482" spans="22:23" s="21" customFormat="1" ht="22.5" customHeight="1" x14ac:dyDescent="0.25">
      <c r="V482" s="141"/>
      <c r="W482" s="141"/>
    </row>
    <row r="483" spans="22:23" s="21" customFormat="1" ht="22.5" customHeight="1" x14ac:dyDescent="0.25">
      <c r="V483" s="141"/>
      <c r="W483" s="141"/>
    </row>
    <row r="484" spans="22:23" s="21" customFormat="1" ht="22.5" customHeight="1" x14ac:dyDescent="0.25">
      <c r="V484" s="141"/>
      <c r="W484" s="141"/>
    </row>
    <row r="485" spans="22:23" s="21" customFormat="1" ht="22.5" customHeight="1" x14ac:dyDescent="0.25">
      <c r="V485" s="141"/>
      <c r="W485" s="141"/>
    </row>
    <row r="486" spans="22:23" s="21" customFormat="1" ht="22.5" customHeight="1" x14ac:dyDescent="0.25">
      <c r="V486" s="141"/>
      <c r="W486" s="141"/>
    </row>
    <row r="487" spans="22:23" s="21" customFormat="1" ht="22.5" customHeight="1" x14ac:dyDescent="0.25">
      <c r="V487" s="141"/>
      <c r="W487" s="141"/>
    </row>
    <row r="488" spans="22:23" s="21" customFormat="1" ht="22.5" customHeight="1" x14ac:dyDescent="0.25">
      <c r="V488" s="141"/>
      <c r="W488" s="141"/>
    </row>
    <row r="489" spans="22:23" s="21" customFormat="1" ht="22.5" customHeight="1" x14ac:dyDescent="0.25">
      <c r="V489" s="141"/>
      <c r="W489" s="141"/>
    </row>
    <row r="490" spans="22:23" s="21" customFormat="1" ht="22.5" customHeight="1" x14ac:dyDescent="0.25">
      <c r="V490" s="141"/>
      <c r="W490" s="141"/>
    </row>
    <row r="491" spans="22:23" s="21" customFormat="1" ht="22.5" customHeight="1" x14ac:dyDescent="0.25">
      <c r="V491" s="141"/>
      <c r="W491" s="141"/>
    </row>
    <row r="492" spans="22:23" s="21" customFormat="1" ht="22.5" customHeight="1" x14ac:dyDescent="0.25">
      <c r="V492" s="141"/>
      <c r="W492" s="141"/>
    </row>
    <row r="493" spans="22:23" s="21" customFormat="1" ht="22.5" customHeight="1" x14ac:dyDescent="0.25">
      <c r="V493" s="141"/>
      <c r="W493" s="141"/>
    </row>
    <row r="494" spans="22:23" s="21" customFormat="1" ht="22.5" customHeight="1" x14ac:dyDescent="0.25">
      <c r="V494" s="141"/>
      <c r="W494" s="141"/>
    </row>
    <row r="495" spans="22:23" s="21" customFormat="1" ht="22.5" customHeight="1" x14ac:dyDescent="0.25">
      <c r="V495" s="141"/>
      <c r="W495" s="141"/>
    </row>
    <row r="496" spans="22:23" s="21" customFormat="1" ht="22.5" customHeight="1" x14ac:dyDescent="0.25">
      <c r="V496" s="141"/>
      <c r="W496" s="141"/>
    </row>
    <row r="497" spans="22:23" s="21" customFormat="1" ht="22.5" customHeight="1" x14ac:dyDescent="0.25">
      <c r="V497" s="141"/>
      <c r="W497" s="141"/>
    </row>
    <row r="498" spans="22:23" s="21" customFormat="1" ht="22.5" customHeight="1" x14ac:dyDescent="0.25">
      <c r="V498" s="141"/>
      <c r="W498" s="141"/>
    </row>
    <row r="499" spans="22:23" s="21" customFormat="1" ht="22.5" customHeight="1" x14ac:dyDescent="0.25">
      <c r="V499" s="141"/>
      <c r="W499" s="141"/>
    </row>
    <row r="500" spans="22:23" s="21" customFormat="1" ht="22.5" customHeight="1" x14ac:dyDescent="0.25">
      <c r="V500" s="141"/>
      <c r="W500" s="141"/>
    </row>
    <row r="501" spans="22:23" s="21" customFormat="1" ht="22.5" customHeight="1" x14ac:dyDescent="0.25">
      <c r="V501" s="141"/>
      <c r="W501" s="141"/>
    </row>
    <row r="502" spans="22:23" s="21" customFormat="1" ht="22.5" customHeight="1" x14ac:dyDescent="0.25">
      <c r="V502" s="141"/>
      <c r="W502" s="141"/>
    </row>
    <row r="503" spans="22:23" s="21" customFormat="1" ht="22.5" customHeight="1" x14ac:dyDescent="0.25">
      <c r="V503" s="141"/>
      <c r="W503" s="141"/>
    </row>
    <row r="504" spans="22:23" s="21" customFormat="1" ht="22.5" customHeight="1" x14ac:dyDescent="0.25">
      <c r="V504" s="141"/>
      <c r="W504" s="141"/>
    </row>
    <row r="505" spans="22:23" s="21" customFormat="1" ht="22.5" customHeight="1" x14ac:dyDescent="0.25">
      <c r="V505" s="141"/>
      <c r="W505" s="141"/>
    </row>
    <row r="506" spans="22:23" s="21" customFormat="1" ht="22.5" customHeight="1" x14ac:dyDescent="0.25">
      <c r="V506" s="141"/>
      <c r="W506" s="141"/>
    </row>
    <row r="507" spans="22:23" s="21" customFormat="1" ht="22.5" customHeight="1" x14ac:dyDescent="0.25">
      <c r="V507" s="141"/>
      <c r="W507" s="141"/>
    </row>
    <row r="508" spans="22:23" s="21" customFormat="1" ht="22.5" customHeight="1" x14ac:dyDescent="0.25">
      <c r="V508" s="141"/>
      <c r="W508" s="141"/>
    </row>
    <row r="509" spans="22:23" s="21" customFormat="1" ht="22.5" customHeight="1" x14ac:dyDescent="0.25">
      <c r="V509" s="141"/>
      <c r="W509" s="141"/>
    </row>
    <row r="510" spans="22:23" s="21" customFormat="1" ht="22.5" customHeight="1" x14ac:dyDescent="0.25">
      <c r="V510" s="141"/>
      <c r="W510" s="141"/>
    </row>
    <row r="511" spans="22:23" s="21" customFormat="1" ht="22.5" customHeight="1" x14ac:dyDescent="0.25">
      <c r="V511" s="141"/>
      <c r="W511" s="141"/>
    </row>
    <row r="512" spans="22:23" s="21" customFormat="1" ht="22.5" customHeight="1" x14ac:dyDescent="0.25">
      <c r="V512" s="141"/>
      <c r="W512" s="141"/>
    </row>
    <row r="513" spans="22:23" s="21" customFormat="1" ht="22.5" customHeight="1" x14ac:dyDescent="0.25">
      <c r="V513" s="141"/>
      <c r="W513" s="141"/>
    </row>
    <row r="514" spans="22:23" s="21" customFormat="1" ht="22.5" customHeight="1" x14ac:dyDescent="0.25">
      <c r="V514" s="141"/>
      <c r="W514" s="141"/>
    </row>
    <row r="515" spans="22:23" s="21" customFormat="1" ht="22.5" customHeight="1" x14ac:dyDescent="0.25">
      <c r="V515" s="141"/>
      <c r="W515" s="141"/>
    </row>
    <row r="516" spans="22:23" s="21" customFormat="1" ht="22.5" customHeight="1" x14ac:dyDescent="0.25">
      <c r="V516" s="141"/>
      <c r="W516" s="141"/>
    </row>
    <row r="517" spans="22:23" s="21" customFormat="1" ht="22.5" customHeight="1" x14ac:dyDescent="0.25">
      <c r="V517" s="141"/>
      <c r="W517" s="141"/>
    </row>
    <row r="518" spans="22:23" s="21" customFormat="1" ht="22.5" customHeight="1" x14ac:dyDescent="0.25">
      <c r="V518" s="141"/>
      <c r="W518" s="141"/>
    </row>
    <row r="519" spans="22:23" s="21" customFormat="1" ht="22.5" customHeight="1" x14ac:dyDescent="0.25">
      <c r="V519" s="141"/>
      <c r="W519" s="141"/>
    </row>
    <row r="520" spans="22:23" s="21" customFormat="1" ht="22.5" customHeight="1" x14ac:dyDescent="0.25">
      <c r="V520" s="141"/>
      <c r="W520" s="141"/>
    </row>
    <row r="521" spans="22:23" s="21" customFormat="1" ht="22.5" customHeight="1" x14ac:dyDescent="0.25">
      <c r="V521" s="141"/>
      <c r="W521" s="141"/>
    </row>
    <row r="522" spans="22:23" s="21" customFormat="1" ht="22.5" customHeight="1" x14ac:dyDescent="0.25">
      <c r="V522" s="141"/>
      <c r="W522" s="141"/>
    </row>
    <row r="523" spans="22:23" s="21" customFormat="1" ht="22.5" customHeight="1" x14ac:dyDescent="0.25">
      <c r="V523" s="141"/>
      <c r="W523" s="141"/>
    </row>
    <row r="524" spans="22:23" s="21" customFormat="1" ht="22.5" customHeight="1" x14ac:dyDescent="0.25">
      <c r="V524" s="141"/>
      <c r="W524" s="141"/>
    </row>
    <row r="525" spans="22:23" s="21" customFormat="1" ht="22.5" customHeight="1" x14ac:dyDescent="0.25">
      <c r="V525" s="141"/>
      <c r="W525" s="141"/>
    </row>
    <row r="526" spans="22:23" s="21" customFormat="1" ht="22.5" customHeight="1" x14ac:dyDescent="0.25">
      <c r="V526" s="141"/>
      <c r="W526" s="141"/>
    </row>
    <row r="527" spans="22:23" s="21" customFormat="1" ht="22.5" customHeight="1" x14ac:dyDescent="0.25">
      <c r="V527" s="141"/>
      <c r="W527" s="141"/>
    </row>
    <row r="528" spans="22:23" s="21" customFormat="1" ht="22.5" customHeight="1" x14ac:dyDescent="0.25">
      <c r="V528" s="141"/>
      <c r="W528" s="141"/>
    </row>
    <row r="529" spans="22:23" s="21" customFormat="1" ht="22.5" customHeight="1" x14ac:dyDescent="0.25">
      <c r="V529" s="141"/>
      <c r="W529" s="141"/>
    </row>
    <row r="530" spans="22:23" s="21" customFormat="1" ht="22.5" customHeight="1" x14ac:dyDescent="0.25">
      <c r="V530" s="141"/>
      <c r="W530" s="141"/>
    </row>
    <row r="531" spans="22:23" s="21" customFormat="1" ht="22.5" customHeight="1" x14ac:dyDescent="0.25">
      <c r="V531" s="141"/>
      <c r="W531" s="141"/>
    </row>
    <row r="532" spans="22:23" s="21" customFormat="1" ht="22.5" customHeight="1" x14ac:dyDescent="0.25">
      <c r="V532" s="141"/>
      <c r="W532" s="141"/>
    </row>
    <row r="533" spans="22:23" s="21" customFormat="1" ht="22.5" customHeight="1" x14ac:dyDescent="0.25">
      <c r="V533" s="141"/>
      <c r="W533" s="141"/>
    </row>
    <row r="534" spans="22:23" s="21" customFormat="1" ht="22.5" customHeight="1" x14ac:dyDescent="0.25">
      <c r="V534" s="141"/>
      <c r="W534" s="141"/>
    </row>
    <row r="535" spans="22:23" s="21" customFormat="1" ht="22.5" customHeight="1" x14ac:dyDescent="0.25">
      <c r="V535" s="141"/>
      <c r="W535" s="141"/>
    </row>
    <row r="536" spans="22:23" s="21" customFormat="1" ht="22.5" customHeight="1" x14ac:dyDescent="0.25">
      <c r="V536" s="141"/>
      <c r="W536" s="141"/>
    </row>
    <row r="537" spans="22:23" s="21" customFormat="1" ht="22.5" customHeight="1" x14ac:dyDescent="0.25">
      <c r="V537" s="141"/>
      <c r="W537" s="141"/>
    </row>
    <row r="538" spans="22:23" s="21" customFormat="1" ht="22.5" customHeight="1" x14ac:dyDescent="0.25">
      <c r="V538" s="141"/>
      <c r="W538" s="141"/>
    </row>
    <row r="539" spans="22:23" s="21" customFormat="1" ht="22.5" customHeight="1" x14ac:dyDescent="0.25">
      <c r="V539" s="141"/>
      <c r="W539" s="141"/>
    </row>
    <row r="540" spans="22:23" s="21" customFormat="1" ht="22.5" customHeight="1" x14ac:dyDescent="0.25">
      <c r="V540" s="141"/>
      <c r="W540" s="141"/>
    </row>
    <row r="541" spans="22:23" s="21" customFormat="1" ht="22.5" customHeight="1" x14ac:dyDescent="0.25">
      <c r="V541" s="141"/>
      <c r="W541" s="141"/>
    </row>
    <row r="542" spans="22:23" s="21" customFormat="1" ht="22.5" customHeight="1" x14ac:dyDescent="0.25">
      <c r="V542" s="141"/>
      <c r="W542" s="141"/>
    </row>
    <row r="543" spans="22:23" s="21" customFormat="1" ht="22.5" customHeight="1" x14ac:dyDescent="0.25">
      <c r="V543" s="141"/>
      <c r="W543" s="141"/>
    </row>
    <row r="544" spans="22:23" s="21" customFormat="1" ht="22.5" customHeight="1" x14ac:dyDescent="0.25">
      <c r="V544" s="141"/>
      <c r="W544" s="141"/>
    </row>
    <row r="545" spans="22:23" s="21" customFormat="1" ht="22.5" customHeight="1" x14ac:dyDescent="0.25">
      <c r="V545" s="141"/>
      <c r="W545" s="141"/>
    </row>
    <row r="546" spans="22:23" s="21" customFormat="1" ht="22.5" customHeight="1" x14ac:dyDescent="0.25">
      <c r="V546" s="141"/>
      <c r="W546" s="141"/>
    </row>
    <row r="547" spans="22:23" s="21" customFormat="1" ht="22.5" customHeight="1" x14ac:dyDescent="0.25">
      <c r="V547" s="141"/>
      <c r="W547" s="141"/>
    </row>
    <row r="548" spans="22:23" s="21" customFormat="1" ht="22.5" customHeight="1" x14ac:dyDescent="0.25">
      <c r="V548" s="141"/>
      <c r="W548" s="141"/>
    </row>
    <row r="549" spans="22:23" s="21" customFormat="1" ht="22.5" customHeight="1" x14ac:dyDescent="0.25">
      <c r="V549" s="141"/>
      <c r="W549" s="141"/>
    </row>
    <row r="550" spans="22:23" s="21" customFormat="1" ht="22.5" customHeight="1" x14ac:dyDescent="0.25">
      <c r="V550" s="141"/>
      <c r="W550" s="141"/>
    </row>
    <row r="551" spans="22:23" s="21" customFormat="1" ht="22.5" customHeight="1" x14ac:dyDescent="0.25">
      <c r="V551" s="141"/>
      <c r="W551" s="141"/>
    </row>
    <row r="552" spans="22:23" s="21" customFormat="1" ht="22.5" customHeight="1" x14ac:dyDescent="0.25">
      <c r="V552" s="141"/>
      <c r="W552" s="141"/>
    </row>
    <row r="553" spans="22:23" s="21" customFormat="1" ht="22.5" customHeight="1" x14ac:dyDescent="0.25">
      <c r="V553" s="141"/>
      <c r="W553" s="141"/>
    </row>
    <row r="554" spans="22:23" s="21" customFormat="1" ht="22.5" customHeight="1" x14ac:dyDescent="0.25">
      <c r="V554" s="141"/>
      <c r="W554" s="141"/>
    </row>
    <row r="555" spans="22:23" s="21" customFormat="1" ht="22.5" customHeight="1" x14ac:dyDescent="0.25">
      <c r="V555" s="141"/>
      <c r="W555" s="141"/>
    </row>
    <row r="556" spans="22:23" s="21" customFormat="1" ht="22.5" customHeight="1" x14ac:dyDescent="0.25">
      <c r="V556" s="141"/>
      <c r="W556" s="141"/>
    </row>
  </sheetData>
  <sheetProtection algorithmName="SHA-512" hashValue="XBu9XvX4L12ZOXDVB9M4kXlE/GNm6FjO9JO4gXLYdMV4sqrVrnwN36sdTfR8j5jWbOthERUsA2uPpkyFUu0e3w==" saltValue="Qr3Z55eT6ijVaHbZDp1sYQ==" spinCount="100000" sheet="1" objects="1" scenarios="1" selectLockedCells="1" selectUnlockedCells="1"/>
  <mergeCells count="26">
    <mergeCell ref="AG5:AJ5"/>
    <mergeCell ref="AK5:AN5"/>
    <mergeCell ref="AO5:AR5"/>
    <mergeCell ref="AS5:AV5"/>
    <mergeCell ref="Y15:Z15"/>
    <mergeCell ref="AC15:AD15"/>
    <mergeCell ref="AG15:AH15"/>
    <mergeCell ref="AK15:AL15"/>
    <mergeCell ref="AO15:AP15"/>
    <mergeCell ref="AS15:AT15"/>
    <mergeCell ref="Y4:AF4"/>
    <mergeCell ref="AG4:AN4"/>
    <mergeCell ref="AO4:AV4"/>
    <mergeCell ref="A5:C5"/>
    <mergeCell ref="E5:F5"/>
    <mergeCell ref="G5:I5"/>
    <mergeCell ref="J5:J6"/>
    <mergeCell ref="K5:K6"/>
    <mergeCell ref="Y5:AB5"/>
    <mergeCell ref="AC5:AF5"/>
    <mergeCell ref="C1:X3"/>
    <mergeCell ref="A4:K4"/>
    <mergeCell ref="L4:P5"/>
    <mergeCell ref="Q4:U5"/>
    <mergeCell ref="V4:W5"/>
    <mergeCell ref="X4:X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Consolidado 2020</vt:lpstr>
      <vt:lpstr>TIC</vt:lpstr>
      <vt:lpstr>Comunicaciones</vt:lpstr>
      <vt:lpstr>Oficina Asesora Planeación</vt:lpstr>
      <vt:lpstr>PAI SES</vt:lpstr>
      <vt:lpstr>SIPTA</vt:lpstr>
      <vt:lpstr>SAF</vt:lpstr>
      <vt:lpstr>Oficina Asesora Jurídica</vt:lpstr>
      <vt:lpstr>Control Disciplinario</vt:lpstr>
      <vt:lpstr>Control Interno</vt:lpstr>
      <vt:lpstr>PAI REGALÍAS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David Castro</dc:creator>
  <cp:lastModifiedBy>Christian David Castro</cp:lastModifiedBy>
  <dcterms:created xsi:type="dcterms:W3CDTF">2020-04-23T16:18:23Z</dcterms:created>
  <dcterms:modified xsi:type="dcterms:W3CDTF">2020-05-13T17:02:46Z</dcterms:modified>
</cp:coreProperties>
</file>